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Default Extension="vml" ContentType="application/vnd.openxmlformats-officedocument.vmlDrawing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90" windowWidth="15420" windowHeight="3015" tabRatio="896" firstSheet="27" activeTab="34"/>
  </bookViews>
  <sheets>
    <sheet name="SI_1" sheetId="1" r:id="rId1"/>
    <sheet name="COCOCO" sheetId="2" r:id="rId2"/>
    <sheet name="t1" sheetId="3" r:id="rId3"/>
    <sheet name="t2" sheetId="4" r:id="rId4"/>
    <sheet name="t2A" sheetId="5" r:id="rId5"/>
    <sheet name="t3" sheetId="6" r:id="rId6"/>
    <sheet name="t4" sheetId="7" r:id="rId7"/>
    <sheet name="t5" sheetId="8" r:id="rId8"/>
    <sheet name="t6" sheetId="9" r:id="rId9"/>
    <sheet name="t7" sheetId="10" r:id="rId10"/>
    <sheet name="t8" sheetId="11" r:id="rId11"/>
    <sheet name="t9" sheetId="12" r:id="rId12"/>
    <sheet name="t10" sheetId="13" r:id="rId13"/>
    <sheet name="t11" sheetId="14" r:id="rId14"/>
    <sheet name="t12" sheetId="15" r:id="rId15"/>
    <sheet name="t13" sheetId="16" r:id="rId16"/>
    <sheet name="t14" sheetId="17" r:id="rId17"/>
    <sheet name="t15(1)" sheetId="18" r:id="rId18"/>
    <sheet name="t15(2)" sheetId="19" r:id="rId19"/>
    <sheet name="Tabella Riconciliazione" sheetId="20" r:id="rId20"/>
    <sheet name="Valori Medi" sheetId="21" r:id="rId21"/>
    <sheet name="Squadratura 1" sheetId="22" r:id="rId22"/>
    <sheet name="Squadratura 2" sheetId="23" r:id="rId23"/>
    <sheet name="Squadratura 3" sheetId="24" r:id="rId24"/>
    <sheet name="Squadratura 4" sheetId="25" r:id="rId25"/>
    <sheet name="Incongruenze 1 e 11" sheetId="26" r:id="rId26"/>
    <sheet name="Incongruenza 2" sheetId="27" r:id="rId27"/>
    <sheet name="Incongruenze 3, 12 e 13" sheetId="28" r:id="rId28"/>
    <sheet name="Incongruenza 4 e controlli t14" sheetId="29" r:id="rId29"/>
    <sheet name="Incongruenza 5" sheetId="30" r:id="rId30"/>
    <sheet name="Incongruenza 6" sheetId="31" r:id="rId31"/>
    <sheet name="Incongruenza 7" sheetId="32" r:id="rId32"/>
    <sheet name="Incongruenza 8" sheetId="33" r:id="rId33"/>
    <sheet name="Incongruenza 10" sheetId="34" r:id="rId34"/>
    <sheet name="Incongruenza 14" sheetId="35" r:id="rId35"/>
    <sheet name="Foglio1" sheetId="36" r:id="rId36"/>
  </sheets>
  <externalReferences>
    <externalReference r:id="rId39"/>
    <externalReference r:id="rId40"/>
  </externalReferences>
  <definedNames>
    <definedName name="_xlfn.BAHTTEXT" hidden="1">#NAME?</definedName>
    <definedName name="_xlnm.Print_Area" localSheetId="1">'COCOCO'!$A$1:$H$27</definedName>
    <definedName name="_xlnm.Print_Area" localSheetId="25">'Incongruenze 1 e 11'!$A$1:$E$21</definedName>
    <definedName name="_xlnm.Print_Area" localSheetId="27">'Incongruenze 3, 12 e 13'!$A$1:$D$20</definedName>
    <definedName name="_xlnm.Print_Area" localSheetId="0">'SI_1'!$A$1:$H$168</definedName>
    <definedName name="_xlnm.Print_Area" localSheetId="21">'Squadratura 1'!$A$1:$J$31</definedName>
    <definedName name="_xlnm.Print_Area" localSheetId="22">'Squadratura 2'!$A$1:$L$32</definedName>
    <definedName name="_xlnm.Print_Area" localSheetId="23">'Squadratura 3'!$A$1:$AB$33</definedName>
    <definedName name="_xlnm.Print_Area" localSheetId="24">'Squadratura 4'!$A$1:$I$31</definedName>
    <definedName name="_xlnm.Print_Area" localSheetId="2">'t1'!$A$1:$AK$202</definedName>
    <definedName name="_xlnm.Print_Area" localSheetId="12">'t10'!$A$1:$AV$33</definedName>
    <definedName name="_xlnm.Print_Area" localSheetId="13">'t11'!$A$1:$BA$34</definedName>
    <definedName name="_xlnm.Print_Area" localSheetId="14">'t12'!$A$1:$AI$35</definedName>
    <definedName name="_xlnm.Print_Area" localSheetId="15">'t13'!$A$1:$BB$34</definedName>
    <definedName name="_xlnm.Print_Area" localSheetId="16">'t14'!$A$1:$D$34</definedName>
    <definedName name="_xlnm.Print_Area" localSheetId="17">'t15(1)'!$A$1:$G$35</definedName>
    <definedName name="_xlnm.Print_Area" localSheetId="18">'t15(2)'!$A$1:$G$33</definedName>
    <definedName name="_xlnm.Print_Area" localSheetId="4">'t2A'!$A$1:$S$16</definedName>
    <definedName name="_xlnm.Print_Area" localSheetId="5">'t3'!$A$1:$R$36</definedName>
    <definedName name="_xlnm.Print_Area" localSheetId="6">'t4'!$A$1:$AB$33</definedName>
    <definedName name="_xlnm.Print_Area" localSheetId="7">'t5'!$A$1:$T$35</definedName>
    <definedName name="_xlnm.Print_Area" localSheetId="9">'t7'!$A$1:$X$33</definedName>
    <definedName name="_xlnm.Print_Area" localSheetId="10">'t8'!$A$1:$AB$34</definedName>
    <definedName name="_xlnm.Print_Area" localSheetId="11">'t9'!$A$1:$P$33</definedName>
    <definedName name="_xlnm.Print_Area" localSheetId="20">'Valori Medi'!$A$1:$T$33</definedName>
    <definedName name="CODI_ISTITUZIONE">#REF!</definedName>
    <definedName name="CODI_ISTITUZIONE2" localSheetId="34">#REF!</definedName>
    <definedName name="CODI_ISTITUZIONE2" localSheetId="32">#REF!</definedName>
    <definedName name="CODI_ISTITUZIONE2" localSheetId="27">#REF!</definedName>
    <definedName name="CODI_ISTITUZIONE2">#REF!</definedName>
    <definedName name="DESC_ISTITUZIONE">#REF!</definedName>
    <definedName name="DESC_ISTITUZIONE2" localSheetId="34">#REF!</definedName>
    <definedName name="DESC_ISTITUZIONE2" localSheetId="32">#REF!</definedName>
    <definedName name="DESC_ISTITUZIONE2" localSheetId="27">#REF!</definedName>
    <definedName name="DESC_ISTITUZIONE2">#REF!</definedName>
    <definedName name="_xlnm.Print_Titles" localSheetId="26">'Incongruenza 2'!$1:$5</definedName>
    <definedName name="_xlnm.Print_Titles" localSheetId="29">'Incongruenza 5'!$1:$5</definedName>
    <definedName name="_xlnm.Print_Titles" localSheetId="30">'Incongruenza 6'!$1:$5</definedName>
    <definedName name="_xlnm.Print_Titles" localSheetId="31">'Incongruenza 7'!$1:$4</definedName>
    <definedName name="_xlnm.Print_Titles" localSheetId="32">'Incongruenza 8'!$1:$5</definedName>
    <definedName name="_xlnm.Print_Titles" localSheetId="25">'Incongruenze 1 e 11'!$4:$4</definedName>
    <definedName name="_xlnm.Print_Titles" localSheetId="27">'Incongruenze 3, 12 e 13'!$4:$4</definedName>
    <definedName name="_xlnm.Print_Titles" localSheetId="21">'Squadratura 1'!$1:$5</definedName>
    <definedName name="_xlnm.Print_Titles" localSheetId="22">'Squadratura 2'!$1:$6</definedName>
    <definedName name="_xlnm.Print_Titles" localSheetId="23">'Squadratura 3'!$A:$B,'Squadratura 3'!$1:$7</definedName>
    <definedName name="_xlnm.Print_Titles" localSheetId="24">'Squadratura 4'!$1:$5</definedName>
    <definedName name="_xlnm.Print_Titles" localSheetId="2">'t1'!$1:$5</definedName>
    <definedName name="_xlnm.Print_Titles" localSheetId="12">'t10'!$A:$B,'t10'!$1:$5</definedName>
    <definedName name="_xlnm.Print_Titles" localSheetId="13">'t11'!$1:$7</definedName>
    <definedName name="_xlnm.Print_Titles" localSheetId="14">'t12'!$1:$5</definedName>
    <definedName name="_xlnm.Print_Titles" localSheetId="15">'t13'!$1:$5</definedName>
    <definedName name="_xlnm.Print_Titles" localSheetId="18">'t15(2)'!$3:$4</definedName>
    <definedName name="_xlnm.Print_Titles" localSheetId="3">'t2'!$1:$5</definedName>
    <definedName name="_xlnm.Print_Titles" localSheetId="5">'t3'!$1:$5</definedName>
    <definedName name="_xlnm.Print_Titles" localSheetId="6">'t4'!$A:$B,'t4'!$1:$5</definedName>
    <definedName name="_xlnm.Print_Titles" localSheetId="7">'t5'!$1:$6</definedName>
    <definedName name="_xlnm.Print_Titles" localSheetId="8">'t6'!$1:$6</definedName>
    <definedName name="_xlnm.Print_Titles" localSheetId="9">'t7'!$1:$5</definedName>
    <definedName name="_xlnm.Print_Titles" localSheetId="10">'t8'!$1:$5</definedName>
    <definedName name="_xlnm.Print_Titles" localSheetId="11">'t9'!$1:$5</definedName>
    <definedName name="_xlnm.Print_Titles" localSheetId="20">'Valori Medi'!$A:$E,'Valori Medi'!$1:$5</definedName>
  </definedNames>
  <calcPr fullCalcOnLoad="1" fullPrecision="0"/>
</workbook>
</file>

<file path=xl/sharedStrings.xml><?xml version="1.0" encoding="utf-8"?>
<sst xmlns="http://schemas.openxmlformats.org/spreadsheetml/2006/main" count="1485" uniqueCount="771">
  <si>
    <t>Personale soggetto a turnazione (**) Personale indicato in T1</t>
  </si>
  <si>
    <t>Personale soggetto a reperibilità (**) Personale indicato in T1</t>
  </si>
  <si>
    <t>CONTRATTI PER RESA SERVIZI/ADEMPIMENTI OBBLIGATORI PER LEGGE</t>
  </si>
  <si>
    <t>L115</t>
  </si>
  <si>
    <t>c) Economico</t>
  </si>
  <si>
    <t>b) Giuridico-amministrativo</t>
  </si>
  <si>
    <t>Esoneri 50% (OUT) (Tab 3)</t>
  </si>
  <si>
    <t>Esoneri 70% (OUT) (Tab 3)</t>
  </si>
  <si>
    <t>j=(a+b+c+d-e-f-g-h-i)</t>
  </si>
  <si>
    <t>k</t>
  </si>
  <si>
    <t>j=k</t>
  </si>
  <si>
    <t>s</t>
  </si>
  <si>
    <t>u=(l+m+n+o-p-q-r-s-t)</t>
  </si>
  <si>
    <t>v</t>
  </si>
  <si>
    <t>u=v</t>
  </si>
  <si>
    <t>Costituzione fondi per la contrattazione integrativa (*)</t>
  </si>
  <si>
    <t>Destinazione fondi per la contrattazione integrativa (*)</t>
  </si>
  <si>
    <t>unità per il calcolo delle assenze (*)</t>
  </si>
  <si>
    <t>Presenti per titolo di studio 
(Tab 9)</t>
  </si>
  <si>
    <t>Incarichi libero professionale, studio, ricerca e consulenza</t>
  </si>
  <si>
    <t>Contratti per resa servizi/adempimenti obbligatori per legge</t>
  </si>
  <si>
    <t>T1</t>
  </si>
  <si>
    <t>SQ 1</t>
  </si>
  <si>
    <t>T2</t>
  </si>
  <si>
    <t>SQ 2</t>
  </si>
  <si>
    <t>T3</t>
  </si>
  <si>
    <t>SQ 3</t>
  </si>
  <si>
    <t>T4</t>
  </si>
  <si>
    <t>SQ 4</t>
  </si>
  <si>
    <t>T5</t>
  </si>
  <si>
    <t>T6</t>
  </si>
  <si>
    <t>T7</t>
  </si>
  <si>
    <t>IN 1</t>
  </si>
  <si>
    <t>T8</t>
  </si>
  <si>
    <t>IN 2</t>
  </si>
  <si>
    <t>T9</t>
  </si>
  <si>
    <t>IN 4</t>
  </si>
  <si>
    <t>T10</t>
  </si>
  <si>
    <t>IN 5</t>
  </si>
  <si>
    <t>T11</t>
  </si>
  <si>
    <t>IN 6</t>
  </si>
  <si>
    <t>T12</t>
  </si>
  <si>
    <t>IN 7</t>
  </si>
  <si>
    <t>T13</t>
  </si>
  <si>
    <t>T14</t>
  </si>
  <si>
    <t>T15</t>
  </si>
  <si>
    <t>Contratti di collaborazione coordinata e continuativa</t>
  </si>
  <si>
    <t>Totale della Tabella T11</t>
  </si>
  <si>
    <t>Totale della Tabella T1</t>
  </si>
  <si>
    <t>Totale della Tabella T3 (personale esterno)</t>
  </si>
  <si>
    <t>Totale Usciti della Tabella T4</t>
  </si>
  <si>
    <t>Totale Entrati della Tabella T4</t>
  </si>
  <si>
    <t>Totale della Tabella T5</t>
  </si>
  <si>
    <t>Incongruenza 7</t>
  </si>
  <si>
    <t>Incongruenza           [se a&gt;0 e (b=0 e c=0 e d=0 e e=0 e f=0)]</t>
  </si>
  <si>
    <t>Incongruenza         [se a=0 e (b&gt;0 o c&gt;0 o d&gt;0 o e&gt;0 o f&gt;0)]</t>
  </si>
  <si>
    <t>CONTRATTI DI COLLABORAZIONE COORDINATA E CONTINUATIVA</t>
  </si>
  <si>
    <t>Contratti di somministrazione (ex interinale)</t>
  </si>
  <si>
    <t>Contratti di somministrazione
(ex Interinale) (*)</t>
  </si>
  <si>
    <t>INDIRIZZO PAGINA WEB DELL'ENTE</t>
  </si>
  <si>
    <t>CONVENZIONI</t>
  </si>
  <si>
    <t>Passaggi ad altra Amministrazione dello stesso comparto (*)</t>
  </si>
  <si>
    <t>Passaggi ad altra Amministrazione di altro comparto (*)</t>
  </si>
  <si>
    <t>LAUREA BREVE</t>
  </si>
  <si>
    <t>SPECIALIZZAZIONE
POST LAUREA/ DOTTORATO DI RICERCA</t>
  </si>
  <si>
    <t>ALTRI TITOLI
POST LAUREA</t>
  </si>
  <si>
    <t>FORMAZIONE</t>
  </si>
  <si>
    <t>a) Tecnico</t>
  </si>
  <si>
    <t>Suddividere i contratti co.co.co. attivi nel corso dell’anno secondo la loro durata:</t>
  </si>
  <si>
    <t>a) 1 - 3 mesi</t>
  </si>
  <si>
    <t>b) 4 - 6 mesi</t>
  </si>
  <si>
    <t>c) 7 - 12 mesi</t>
  </si>
  <si>
    <t>d) oltre 12 mesi</t>
  </si>
  <si>
    <t>a) Laurea</t>
  </si>
  <si>
    <t>b) Diploma superiore</t>
  </si>
  <si>
    <t>c) Diploma inferiore</t>
  </si>
  <si>
    <t>VALORE</t>
  </si>
  <si>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</si>
  <si>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</si>
  <si>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</si>
  <si>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</si>
  <si>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</si>
  <si>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</si>
  <si>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</si>
  <si>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FERIE</t>
  </si>
  <si>
    <t>N. gg</t>
  </si>
  <si>
    <t>FINO ALLA SCUOLA DELL'OBBLIGO</t>
  </si>
  <si>
    <t>LIC. MEDIA SUPERIORE</t>
  </si>
  <si>
    <t>LAUREA</t>
  </si>
  <si>
    <t>tra 25 e 29 anni</t>
  </si>
  <si>
    <t xml:space="preserve"> tra 30 e 34 anni</t>
  </si>
  <si>
    <t>tra 35 e 39 anni</t>
  </si>
  <si>
    <t>tra 40 e 44 anni</t>
  </si>
  <si>
    <t>tra 45 e 49 anni</t>
  </si>
  <si>
    <t>tra 50 e 54 anni</t>
  </si>
  <si>
    <t>tra 55 e 59 anni</t>
  </si>
  <si>
    <t>tra 60 e 64 anni</t>
  </si>
  <si>
    <t>U</t>
  </si>
  <si>
    <t>D</t>
  </si>
  <si>
    <t>tra 0 e 5 anni</t>
  </si>
  <si>
    <t>tra 6 e 10 anni</t>
  </si>
  <si>
    <t xml:space="preserve"> tra 11 e 15 anni</t>
  </si>
  <si>
    <t>tra 16 e 20 anni</t>
  </si>
  <si>
    <t>tra 21 e 25 anni</t>
  </si>
  <si>
    <t>tra 26 e 30 anni</t>
  </si>
  <si>
    <t>tra 31 e 35 anni</t>
  </si>
  <si>
    <t>tra 36 e 40 anni</t>
  </si>
  <si>
    <t>Altre cause</t>
  </si>
  <si>
    <t>FUORI RUOLO</t>
  </si>
  <si>
    <t>(*) Escluso il personale comandato e quello fuori ruolo</t>
  </si>
  <si>
    <t>Codice</t>
  </si>
  <si>
    <t>CATEGORIA</t>
  </si>
  <si>
    <t>Importo</t>
  </si>
  <si>
    <t>IRAP</t>
  </si>
  <si>
    <t>ALTRE SPESE</t>
  </si>
  <si>
    <t xml:space="preserve">Voci di spesa </t>
  </si>
  <si>
    <t xml:space="preserve"> </t>
  </si>
  <si>
    <t>TREDICESIMA MENSILTA'</t>
  </si>
  <si>
    <t>RECUPERI DERIVANTI DA ASSENZE, RITARDI, ECC.</t>
  </si>
  <si>
    <t>cod.</t>
  </si>
  <si>
    <t>VALLE D'AOSTA</t>
  </si>
  <si>
    <t>PIEMONTE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</si>
  <si>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</si>
  <si>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</si>
  <si>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</si>
  <si>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</si>
  <si>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</si>
  <si>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</si>
  <si>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</si>
  <si>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</si>
  <si>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</si>
  <si>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</si>
  <si>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</si>
  <si>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</si>
  <si>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</si>
  <si>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</si>
  <si>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</si>
  <si>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>DESCRIZIONE</t>
  </si>
  <si>
    <t>CODICE</t>
  </si>
  <si>
    <t>In part-time
fino al 50%</t>
  </si>
  <si>
    <t>In part-time
oltre il 50%</t>
  </si>
  <si>
    <t>A tempo determinato (*)</t>
  </si>
  <si>
    <t>Formazione lavoro (*)</t>
  </si>
  <si>
    <t>(*) dati su base annua</t>
  </si>
  <si>
    <t>(**) presenti al 31 dicembre anno corrente</t>
  </si>
  <si>
    <t xml:space="preserve">TOTALE
USCITI
</t>
  </si>
  <si>
    <t>qualifica/posizione economica/profilo</t>
  </si>
  <si>
    <t>qualifica / posiz.economica/profilo</t>
  </si>
  <si>
    <t>PERSONALE DELL'AMMINISTRAZIONE (* )</t>
  </si>
  <si>
    <t>PERSONALE ESTERNO ( ** )</t>
  </si>
  <si>
    <t>(**) Personale comandato e fuori ruolo da altre Amministrazioni</t>
  </si>
  <si>
    <t>qualifica/posiz. economica/profilo</t>
  </si>
  <si>
    <t>qualifica/posiz.economica/profilo</t>
  </si>
  <si>
    <t>STIPENDIO</t>
  </si>
  <si>
    <t>EROGAZIONE BUONI PASTO</t>
  </si>
  <si>
    <t>INDENNITA' DI MISSIONE E TRASFERIMENTO</t>
  </si>
  <si>
    <t>EQUO INDENNIZZO AL PERSONALE</t>
  </si>
  <si>
    <t>BENESSERE DEL PERSONALE</t>
  </si>
  <si>
    <t>FORMAZIONE DEL PERSONALE</t>
  </si>
  <si>
    <t>Qualifica/Posiz.economica/Profilo</t>
  </si>
  <si>
    <t>ASSEGNI PER IL NUCLEO FAMILIARE</t>
  </si>
  <si>
    <t xml:space="preserve">(**) dato pari alla somma del personale a tempo pieno + in part-time fino al 50% + in part-time oltre il 50% </t>
  </si>
  <si>
    <t xml:space="preserve">(*) Escluso il personale comandato e quello fuori ruolo </t>
  </si>
  <si>
    <t xml:space="preserve">TOTALE </t>
  </si>
  <si>
    <t>L005</t>
  </si>
  <si>
    <t>P015</t>
  </si>
  <si>
    <t>P016</t>
  </si>
  <si>
    <t>P062</t>
  </si>
  <si>
    <t>L105</t>
  </si>
  <si>
    <t>P065</t>
  </si>
  <si>
    <t>P071</t>
  </si>
  <si>
    <t>P055</t>
  </si>
  <si>
    <t>P058</t>
  </si>
  <si>
    <t>P061</t>
  </si>
  <si>
    <t>P090</t>
  </si>
  <si>
    <t>P030</t>
  </si>
  <si>
    <t>L010</t>
  </si>
  <si>
    <t>L011</t>
  </si>
  <si>
    <t>L020</t>
  </si>
  <si>
    <t>L090</t>
  </si>
  <si>
    <t>L100</t>
  </si>
  <si>
    <t>COPERTURE ASSICURATIVE</t>
  </si>
  <si>
    <t>L107</t>
  </si>
  <si>
    <t>L110</t>
  </si>
  <si>
    <t>L108</t>
  </si>
  <si>
    <t>TOTALE ENTRATI</t>
  </si>
  <si>
    <t>fino a 19 anni</t>
  </si>
  <si>
    <t>tra 20 e 24 anni</t>
  </si>
  <si>
    <t>ENTRATI in: qualifica/posizione economica/profilo</t>
  </si>
  <si>
    <t>ARRETRATI ANNO CORRENTE</t>
  </si>
  <si>
    <t>ARRETRATI  ANNI PRECEDENTI</t>
  </si>
  <si>
    <t>NUMERO DI MENSILITA' (**)</t>
  </si>
  <si>
    <t>(*) gli importi vanno indicati in EURO, senza cifre decimali (cfr. circolare: "istruzioni generali e specifiche di comparto")</t>
  </si>
  <si>
    <t>(**) il numero delle mensilità va espresso con 2 cifre decimali (cfr. circolare: "istruzioni generali e specifiche di comparto ")</t>
  </si>
  <si>
    <t>(*) tutti gli importi vanno indicati in euro e al netto degli oneri sociali (contributi ed IRAP) a carico del datore di lavoro</t>
  </si>
  <si>
    <t xml:space="preserve">COMANDATI / DISTACCATI </t>
  </si>
  <si>
    <t>L109</t>
  </si>
  <si>
    <t>ALTRE ASSENZE NON RETRIBUITE</t>
  </si>
  <si>
    <t>Coerenza</t>
  </si>
  <si>
    <t>Tot Cessati (Tab 5)</t>
  </si>
  <si>
    <t>Tot Entrati (Tab 4)</t>
  </si>
  <si>
    <t>Tot Usciti (Tab 4)</t>
  </si>
  <si>
    <t>A tempo determinato</t>
  </si>
  <si>
    <t>Formazione lavoro</t>
  </si>
  <si>
    <t>L.S.U</t>
  </si>
  <si>
    <t>Scostamento in valore assoluto</t>
  </si>
  <si>
    <t>Codici qualifiche</t>
  </si>
  <si>
    <t>Qualifiche</t>
  </si>
  <si>
    <t>a</t>
  </si>
  <si>
    <t>b</t>
  </si>
  <si>
    <t>c</t>
  </si>
  <si>
    <t>d</t>
  </si>
  <si>
    <t>e</t>
  </si>
  <si>
    <t>f=(a-b+c-d+e)</t>
  </si>
  <si>
    <t>g</t>
  </si>
  <si>
    <t>f=g</t>
  </si>
  <si>
    <t xml:space="preserve">Coerenza </t>
  </si>
  <si>
    <t>Presenti per classi di anzianità di servizio (Tab 7)</t>
  </si>
  <si>
    <t>Presenti per classi di età (Tab 8)</t>
  </si>
  <si>
    <t>Fuori ruolo esterni (IN) (Tab 3)</t>
  </si>
  <si>
    <t>Comandati esterni (IN)  (Tab 3)</t>
  </si>
  <si>
    <t>Fuori ruolo interni (OUT) (Tab 3)</t>
  </si>
  <si>
    <t>h</t>
  </si>
  <si>
    <t>i</t>
  </si>
  <si>
    <t>l</t>
  </si>
  <si>
    <t>m</t>
  </si>
  <si>
    <t>n</t>
  </si>
  <si>
    <t>p</t>
  </si>
  <si>
    <t>Cessati (Tab 5)</t>
  </si>
  <si>
    <t xml:space="preserve"> Assunti (Tab 6)</t>
  </si>
  <si>
    <t>Entrati (Tab 4)</t>
  </si>
  <si>
    <t>Usciti (Tab 4)</t>
  </si>
  <si>
    <t>f</t>
  </si>
  <si>
    <t>f&lt;=e</t>
  </si>
  <si>
    <t>a=b=c=d</t>
  </si>
  <si>
    <t>(e=f=g=h)</t>
  </si>
  <si>
    <t>Comandati interni (OUT) (Tab 3)</t>
  </si>
  <si>
    <t>(*) Solo per le tipologie tenute all'invio della TABELLA 10</t>
  </si>
  <si>
    <t>Totale personale distribuito per Regioni  (calcolato)</t>
  </si>
  <si>
    <t>Totale personale distribuito per Regioni (Tab 10)</t>
  </si>
  <si>
    <t>e=(a-b+c+d)</t>
  </si>
  <si>
    <t xml:space="preserve">Consistenza nella qualifica </t>
  </si>
  <si>
    <t>Spesa (Tab 14)</t>
  </si>
  <si>
    <t>Compresenza</t>
  </si>
  <si>
    <t>Qualifica</t>
  </si>
  <si>
    <t>Mensilità (Tab 12)</t>
  </si>
  <si>
    <t>c=(b/a*12)</t>
  </si>
  <si>
    <t>e=(c-d)</t>
  </si>
  <si>
    <t>f=(e/d*100)</t>
  </si>
  <si>
    <t>Spesa per stipendio (Tab 12)</t>
  </si>
  <si>
    <t>Spesa media annua per stipendio (per 12 mensilità)</t>
  </si>
  <si>
    <t>Importi stipendiali contrattuali annui (per 12 mensilità)</t>
  </si>
  <si>
    <t>Scostamento percentuale</t>
  </si>
  <si>
    <t>(*) Personale comandato e fuori ruolo verso altre Amministrazioni</t>
  </si>
  <si>
    <t>Tot Assunti (Tab 6)</t>
  </si>
  <si>
    <t>Controlli di coerenza</t>
  </si>
  <si>
    <t>IMPORTI</t>
  </si>
  <si>
    <t>Codici spesa</t>
  </si>
  <si>
    <t>Importi comunicati (Tab 14)</t>
  </si>
  <si>
    <t>Incidenza percentuale: Importi comunicati Tab 14 / (Tabella 12 + Tabella 13)</t>
  </si>
  <si>
    <t>N U M E R O   D I   D I P E N D E N T I</t>
  </si>
  <si>
    <t xml:space="preserve">N U M E R O   D I   D I P E N D E N T I </t>
  </si>
  <si>
    <t xml:space="preserve">N U M E R O   D I   D I P E N D E N T I  </t>
  </si>
  <si>
    <t>N U M E R O   G I O R N I   D I   A S S E N Z A</t>
  </si>
  <si>
    <t>R.I.A./ PROGR. ECONOMICA DI ANZIANITA'</t>
  </si>
  <si>
    <t xml:space="preserve">USCITI da: 
qualifica/posizione economica/profilo
</t>
  </si>
  <si>
    <t xml:space="preserve">Codice
</t>
  </si>
  <si>
    <t>V O C I   D I   S P E S A</t>
  </si>
  <si>
    <t>U O M I N I</t>
  </si>
  <si>
    <t>D O N N E</t>
  </si>
  <si>
    <t>Tavola di controllo degli usciti dalla qualifica di Tabella 4 (Squadratura 4)</t>
  </si>
  <si>
    <t>Tavola di congruenza tra spesa media annua per stipendio (Tabella 12) e importi stipendiali contrattuali</t>
  </si>
  <si>
    <t>Tavola di controllo dei valori di spesa di Tabella 14: incidenza % di ciascun valore sul totale delle spese di Tabella 12+Tabella 13</t>
  </si>
  <si>
    <t>TOTALE TABELLA 12 + TABELLA 13:</t>
  </si>
  <si>
    <t>PARTITA IVA DELL'ENTE</t>
  </si>
  <si>
    <t xml:space="preserve">CODICE FISCALE DELL'ENTE </t>
  </si>
  <si>
    <t>TELEFONO</t>
  </si>
  <si>
    <t xml:space="preserve">FAX </t>
  </si>
  <si>
    <t>E-MAIL</t>
  </si>
  <si>
    <t>INDIRIZZO</t>
  </si>
  <si>
    <t xml:space="preserve">VIA </t>
  </si>
  <si>
    <t>C.A.P.</t>
  </si>
  <si>
    <t>PRESIDENTE:</t>
  </si>
  <si>
    <t>COGNOME</t>
  </si>
  <si>
    <t>NOME</t>
  </si>
  <si>
    <t>COMPONENTI:</t>
  </si>
  <si>
    <t>I modelli debbono essere sottoscritti dai revisori dei conti</t>
  </si>
  <si>
    <t>FAX</t>
  </si>
  <si>
    <t>Non compilare</t>
  </si>
  <si>
    <t>numero contratti</t>
  </si>
  <si>
    <t>numero unità</t>
  </si>
  <si>
    <t>S998</t>
  </si>
  <si>
    <t>S999</t>
  </si>
  <si>
    <t>T101</t>
  </si>
  <si>
    <t>*1</t>
  </si>
  <si>
    <t>*2</t>
  </si>
  <si>
    <t>E-Mail</t>
  </si>
  <si>
    <t>*3</t>
  </si>
  <si>
    <t>*4</t>
  </si>
  <si>
    <t>ESTERO</t>
  </si>
  <si>
    <t>FRIULI VENEZIA GIULIA</t>
  </si>
  <si>
    <t>PROVINCIA AUTONOMA TRENTO</t>
  </si>
  <si>
    <t>PROVINCIA AUTONOMA BOLZANO</t>
  </si>
  <si>
    <t>N° Civico</t>
  </si>
  <si>
    <t>F00</t>
  </si>
  <si>
    <t>SC1</t>
  </si>
  <si>
    <t>SS2</t>
  </si>
  <si>
    <t>Totale uomini e donne (Tab T5)</t>
  </si>
  <si>
    <t>Totale della Tabella T13</t>
  </si>
  <si>
    <t>TABELLE 12 -13 ASSENTI</t>
  </si>
  <si>
    <t>Totale usciti (Tab T4)</t>
  </si>
  <si>
    <t>Mensilità (Tab T12)</t>
  </si>
  <si>
    <t>Tavola di congruenza tra Presenti al 31-12 del totale  uomini e donne o Totale uomini e donne Tabella 5 e mensilità della Tabella T12</t>
  </si>
  <si>
    <t>Congruenza (se a&gt;0 o b&gt;0 o c&gt;0 e d&gt;0 )</t>
  </si>
  <si>
    <t>1.0</t>
  </si>
  <si>
    <t>ARRETRATI ANNI PRECEDENTI</t>
  </si>
  <si>
    <t>STRAORDINARIO</t>
  </si>
  <si>
    <t>NF</t>
  </si>
  <si>
    <t>ATTENZIONE: non compilare in caso in cui l'ente non è tenuto all'invio</t>
  </si>
  <si>
    <t>Congruenza          ( a&gt;0 e b&gt;0)</t>
  </si>
  <si>
    <t>CITTA'                                                     PROV.</t>
  </si>
  <si>
    <t>TABELLE COMPILATE
(attenzione: la seguente sezione verrà compilata in automatico; all'atto dell'inserimento dei dati nel kit verrà annerita la relativa casella)</t>
  </si>
  <si>
    <t>Fino a 1 anno</t>
  </si>
  <si>
    <t>Da 1 a 2 anni</t>
  </si>
  <si>
    <t>Da 2 a 3 anni</t>
  </si>
  <si>
    <t>Oltre i 3 anni</t>
  </si>
  <si>
    <t>Uomo / Donna</t>
  </si>
  <si>
    <t>XX</t>
  </si>
  <si>
    <t>Personale con contratti di collaborazione coordinata e continuativa</t>
  </si>
  <si>
    <t>Tempo determinato</t>
  </si>
  <si>
    <t>TOTALE Tempo determinato</t>
  </si>
  <si>
    <t>Z01</t>
  </si>
  <si>
    <t>T2A</t>
  </si>
  <si>
    <t>CoCoCo</t>
  </si>
  <si>
    <t>Indicare il numero dei contratti co.co.co. attivi nel corso dell’anno secondo la tipologia:</t>
  </si>
  <si>
    <t>Convenzioni esterni (IN) (Tab 3)</t>
  </si>
  <si>
    <t>Convenzioni interni (OUT) (Tab 3)</t>
  </si>
  <si>
    <t>o</t>
  </si>
  <si>
    <t>q</t>
  </si>
  <si>
    <t>r</t>
  </si>
  <si>
    <t>t</t>
  </si>
  <si>
    <t>Totale (Uomini + donne della sezione "Personale Esterno" COMANDATI / DISTACCATI + FUORI RUOLO+CONVENZIONI)+Mensilità medie da T12(mensilità /12)</t>
  </si>
  <si>
    <t>Quanti dei contratti co.co.co. attivi nel corso dell’anno hanno un compenso maggiore di € 20.000?</t>
  </si>
  <si>
    <r>
      <t xml:space="preserve">I co.co.co. attivi nel corso dell’anno quante persone diverse hanno riguardato? </t>
    </r>
    <r>
      <rPr>
        <b/>
        <i/>
        <sz val="11"/>
        <rFont val="Arial"/>
        <family val="2"/>
      </rPr>
      <t>(Poiché con una stessa persona possono essere stipulati più co.co.co. si chiede di specificare il n. delle persone che hanno avuto almeno un co.co.co. attivo nel corso dell’anno)</t>
    </r>
  </si>
  <si>
    <t xml:space="preserve">   Suddividere le persone con cui sono stati stipulati uno o più contratti co.co.co. in base ai titoli di studio:</t>
  </si>
  <si>
    <t>valore</t>
  </si>
  <si>
    <t xml:space="preserve">Assunzione per chiamata diretta (L. 68/99 - categorie protette) </t>
  </si>
  <si>
    <t xml:space="preserve">Assunzione per chiamata numerica (L. 68/99 - categorie protette) </t>
  </si>
  <si>
    <t>Telelavoro (**) Personale indicato in T1</t>
  </si>
  <si>
    <t>Passaggi da altra Amministrazione dello stesso comparto (*)</t>
  </si>
  <si>
    <t>Passaggi da altra Amministrazione di altro comparto (*)</t>
  </si>
  <si>
    <t>Tavola di controllo dei Valori Medi</t>
  </si>
  <si>
    <t>valori medi assenze</t>
  </si>
  <si>
    <r>
      <t xml:space="preserve">mensilità medie 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(mensilità/12)</t>
    </r>
  </si>
  <si>
    <t>ASSENZE RETRIBUITE</t>
  </si>
  <si>
    <t>ASSENZE NON RETRIBUITE</t>
  </si>
  <si>
    <t>STIPENDIO 
più I.I.S 
(compresi arr. anno corrente)</t>
  </si>
  <si>
    <r>
      <t xml:space="preserve">TOTALE VOCI STIPENDIALI
TABELLA 12
</t>
    </r>
    <r>
      <rPr>
        <sz val="7"/>
        <rFont val="Small Fonts"/>
        <family val="2"/>
      </rPr>
      <t>(esclusi arr. anni prec. e recuperi)</t>
    </r>
  </si>
  <si>
    <t>INDENNITA' FISSE</t>
  </si>
  <si>
    <t>ALTRE ACCESSORIE</t>
  </si>
  <si>
    <r>
      <t xml:space="preserve">TOTALE INDENNITA' FISSE ED ACCESSORIE
TABELLA 13
</t>
    </r>
    <r>
      <rPr>
        <sz val="7"/>
        <rFont val="Small Fonts"/>
        <family val="2"/>
      </rPr>
      <t>(esclusi arretrati anni precedenti)</t>
    </r>
  </si>
  <si>
    <t>COMPONENTI COLLEGIO DEI REVISORI (O ORGANO EQUIVALENTE)</t>
  </si>
  <si>
    <t>RESPONSABILE DEL PROCEDIMENTO AMMINISTRATIVO DI CUI ALLA LEGGE 7/8/90, N. 241 CAPO II°</t>
  </si>
  <si>
    <t>Anzianità di servizio maturata al 31/12, anche in modo non continuativo, nell'attuale o in altre amministrazioni</t>
  </si>
  <si>
    <t>SCIOPERO</t>
  </si>
  <si>
    <t>Tavola di compresenza tra importi comunicati in tab.13 e mensilità (tab.12) o personale esterno (tab.3)</t>
  </si>
  <si>
    <t>INFORMAZIONI ISTITUZIONE</t>
  </si>
  <si>
    <t>DOMANDE PRESENTI IN CIRCOLARE</t>
  </si>
  <si>
    <t>ESONERI AL 50%</t>
  </si>
  <si>
    <t>ESONERI AL 70%</t>
  </si>
  <si>
    <t>Collocamento a riposo per limiti di età</t>
  </si>
  <si>
    <t>Dimissioni (con diritto a pensione)</t>
  </si>
  <si>
    <t>Passaggi per esternalizzazioni (*)</t>
  </si>
  <si>
    <t>ALTRE SPESE ACCESSORIE ED INDENNITA' VARIE</t>
  </si>
  <si>
    <t>Nomina da concorso</t>
  </si>
  <si>
    <t>C01</t>
  </si>
  <si>
    <t>C03</t>
  </si>
  <si>
    <t>C17</t>
  </si>
  <si>
    <t>C18</t>
  </si>
  <si>
    <t>C19</t>
  </si>
  <si>
    <t>C99</t>
  </si>
  <si>
    <t>A23</t>
  </si>
  <si>
    <t>A24</t>
  </si>
  <si>
    <t>A27</t>
  </si>
  <si>
    <t>A28</t>
  </si>
  <si>
    <t>A29</t>
  </si>
  <si>
    <t>A30</t>
  </si>
  <si>
    <t>A31</t>
  </si>
  <si>
    <t>Totale Risorse fisse</t>
  </si>
  <si>
    <t>Risorse variabili</t>
  </si>
  <si>
    <t>Totale Risorse variabili</t>
  </si>
  <si>
    <t>ALTRI PERMESSI ED ASSENZE RETRIBUITE</t>
  </si>
  <si>
    <t>ASS.RETRIB.:MATERNITA',CONGEDO PARENT.,MALATTIA FIGLIO</t>
  </si>
  <si>
    <t>LEGGE 104/92</t>
  </si>
  <si>
    <t>ASSENZE PER MALATTIA RETRIBUITE</t>
  </si>
  <si>
    <t>M04</t>
  </si>
  <si>
    <t>PR4</t>
  </si>
  <si>
    <t>PR5</t>
  </si>
  <si>
    <t>PR6</t>
  </si>
  <si>
    <t>ABRUZZO</t>
  </si>
  <si>
    <t xml:space="preserve">GESTIONE MENSE </t>
  </si>
  <si>
    <t>SOMME CORRISPOSTE AD AGENZIA DI SOMMINISTRAZIONE(INTERINALI)</t>
  </si>
  <si>
    <t>INCARICHI LIBERO PROFESSIONALI/STUDIO/RICERCA/CONSULENZA</t>
  </si>
  <si>
    <t>RETRIBUZIONI PERSONALE  A TEMPO DETERMINATO</t>
  </si>
  <si>
    <t>RETRIBUZIONI PERSONALE CON CONTRATTO DI FORMAZIONE E LAVORO</t>
  </si>
  <si>
    <t>CONTRIBUTI A CARICO DELL'AMM.NE SU COMP. FISSE E ACCESSORIE</t>
  </si>
  <si>
    <t>QUOTE ANNUE ACCANTONAMENTO TFR O ALTRA IND. FINE SERVIZIO</t>
  </si>
  <si>
    <t>ONERI PER I CONTRATTI DI SOMMINISTRAZIONE(INTERINALI)</t>
  </si>
  <si>
    <t>controllo DOT. ORG.</t>
  </si>
  <si>
    <t>(**) Escluse le poste connesse a sponsorizzazioni, recupero evasione ICI e quelle relative a quote per la progettazione, identificate in voci separate.</t>
  </si>
  <si>
    <t>P098</t>
  </si>
  <si>
    <r>
      <t>ANOMALIE RISCONTRATE</t>
    </r>
    <r>
      <rPr>
        <b/>
        <sz val="10"/>
        <rFont val="Arial"/>
        <family val="2"/>
      </rPr>
      <t xml:space="preserve">
(attenzione: la seguente sezione verrà compilata in automatico; all'atto dell'inserimento dei dati nel kit verranno evidenziate eventuali anomalie)</t>
    </r>
  </si>
  <si>
    <t>Congruenza (max scostamento consentito +/- 2%)</t>
  </si>
  <si>
    <t>v. a. di f&lt;=2%</t>
  </si>
  <si>
    <t>tra 41 e 43 anni</t>
  </si>
  <si>
    <t>44 e oltre</t>
  </si>
  <si>
    <t>tra 65 e 67 anni</t>
  </si>
  <si>
    <t>68 e oltre</t>
  </si>
  <si>
    <t>C25</t>
  </si>
  <si>
    <t>Licenziamenti</t>
  </si>
  <si>
    <t>O10</t>
  </si>
  <si>
    <t>CONGEDI RETRIBUITI AI SENSI DELL'ART.42,C.5, DLGS 151/2001</t>
  </si>
  <si>
    <t>SOMME RIMBORSATE PER PERSONALE COMAND./FUORI RUOLO/IN CONV.</t>
  </si>
  <si>
    <t>ALTRE SOMME RIMBORSATE ALLE AMMINISTRAZIONI</t>
  </si>
  <si>
    <t>P074</t>
  </si>
  <si>
    <t>P099</t>
  </si>
  <si>
    <t>c=(b/a)</t>
  </si>
  <si>
    <t>f=(e/a)</t>
  </si>
  <si>
    <t>Incidenza percentuale arretrati a.p.</t>
  </si>
  <si>
    <t>Incidenza percentuale altre accessorie</t>
  </si>
  <si>
    <t>Incongruenza 8</t>
  </si>
  <si>
    <t>IN 8</t>
  </si>
  <si>
    <t>c&lt;=20%</t>
  </si>
  <si>
    <t>f&lt;=20%</t>
  </si>
  <si>
    <t>Congruenza (max incidenza consentita 20%)</t>
  </si>
  <si>
    <t>Tavola di controllo della spesa per "arretrati a.p." e "altre accessorie" di T13: incidenza % di ciascun valore sul totale di Tabella 13</t>
  </si>
  <si>
    <t>A015</t>
  </si>
  <si>
    <t>A030</t>
  </si>
  <si>
    <t>A035</t>
  </si>
  <si>
    <t>A120</t>
  </si>
  <si>
    <t>A045</t>
  </si>
  <si>
    <t>A070</t>
  </si>
  <si>
    <t>M000</t>
  </si>
  <si>
    <t>NOTE</t>
  </si>
  <si>
    <t>Voce di spesa (Tab 14)</t>
  </si>
  <si>
    <t>codice (Tab 14)</t>
  </si>
  <si>
    <t>Valore Medio Unitario:
b / a</t>
  </si>
  <si>
    <t>Incidenza % 
L105 / P062</t>
  </si>
  <si>
    <t>Compresenza 
e/o 
controllo incidenza %</t>
  </si>
  <si>
    <t>RIMBORSI RICEVUTI PER PERS. COMAND./FUORI RUOLO/IN CONV. (-)</t>
  </si>
  <si>
    <t>SOMME RICEVUTE DA U.E. E/O PRIVATI (-)</t>
  </si>
  <si>
    <t>ALTRI RIMBORSI RICEVUTI DALLE AMMINISTRAZIONI (-)</t>
  </si>
  <si>
    <t>(*)  gli importi vanno indicati in EURO, senza cifre decimali (cfr. circolare: "istruzioni generali e specifiche di comparto")</t>
  </si>
  <si>
    <r>
      <t xml:space="preserve">valori medi annui pro-capite per voci retributive a carattere "stipendiale" </t>
    </r>
    <r>
      <rPr>
        <sz val="8"/>
        <rFont val="Arial"/>
        <family val="2"/>
      </rPr>
      <t>(**)</t>
    </r>
  </si>
  <si>
    <r>
      <t>valori medi annui pro-capite per indennità e compensi accessori</t>
    </r>
    <r>
      <rPr>
        <sz val="8"/>
        <rFont val="Arial"/>
        <family val="2"/>
      </rPr>
      <t xml:space="preserve"> (**)</t>
    </r>
  </si>
  <si>
    <t>(**) Valore medio annuo pro-capite calcolato dividendo la spesa per le unità di riferimento (mensilità della T12 / 12)</t>
  </si>
  <si>
    <t>assenze in T11, ma nessuna unità in T1</t>
  </si>
  <si>
    <t xml:space="preserve">Controllo incidenza % L105 / P062  =&gt;  </t>
  </si>
  <si>
    <t>Incongruenza
[(a-gg formazione)&gt;(mens.T12/12*260)]</t>
  </si>
  <si>
    <t>AFAM</t>
  </si>
  <si>
    <t>DIRIGENTE SCOLASTICO</t>
  </si>
  <si>
    <t>0D0158</t>
  </si>
  <si>
    <t>PROFESSORI DI PRIMA FASCIA</t>
  </si>
  <si>
    <t>018P01</t>
  </si>
  <si>
    <t>PROFESSORI DI SECONDA FASCIA</t>
  </si>
  <si>
    <t>016P02</t>
  </si>
  <si>
    <t>DIRETTORE AMMINISTRATIVO EP2</t>
  </si>
  <si>
    <t>013504</t>
  </si>
  <si>
    <t>DIRETTORE DELL UFFICIO DI RAGIONERIA (EP1)</t>
  </si>
  <si>
    <t>013159</t>
  </si>
  <si>
    <t>COORDINATORE DI BIBLIOTECA TECNICO E AMMINISTRATIVO(D)</t>
  </si>
  <si>
    <t>013DTE</t>
  </si>
  <si>
    <t>COLLABORATORE TEC. AMMIN. DI BIBLIOT. E DI LAB. (C)</t>
  </si>
  <si>
    <t>013CTE</t>
  </si>
  <si>
    <t>ASSISTENTE AMMINISTRATIVO (B)</t>
  </si>
  <si>
    <t>012117</t>
  </si>
  <si>
    <t>COADIUTORE (A)</t>
  </si>
  <si>
    <t>011121</t>
  </si>
  <si>
    <t>PROFESSORI DI PRIMA FASCIA TEMPO DET.ANNUALE</t>
  </si>
  <si>
    <t>018PD1</t>
  </si>
  <si>
    <t>018DD1</t>
  </si>
  <si>
    <t>PROFESSORI DI SECONDA FASCIA TEMPO DET.ANNUALE</t>
  </si>
  <si>
    <t>016PD2</t>
  </si>
  <si>
    <t>016DD2</t>
  </si>
  <si>
    <t>DIRETTORE AMMINISTRATIVO TEMPO DET.ANNUALE (EP2)</t>
  </si>
  <si>
    <t>013EP2</t>
  </si>
  <si>
    <t>013E2N</t>
  </si>
  <si>
    <t>013160</t>
  </si>
  <si>
    <t>013E1N</t>
  </si>
  <si>
    <t>COORD. DI BIBLIOT., COORD. TEC. E AMM. TEMPO DET.ANNUALE</t>
  </si>
  <si>
    <t>013DDE</t>
  </si>
  <si>
    <t>013DDN</t>
  </si>
  <si>
    <t>COLLAB. TEC. AMMIN. DI BIBLIOT. E DI LAB. TEMPO DET.ANNUALE</t>
  </si>
  <si>
    <t>013CDE</t>
  </si>
  <si>
    <t>013CDN</t>
  </si>
  <si>
    <t>ASSIST. AMMINISTRATIVO TEMPO DET.ANNUALE</t>
  </si>
  <si>
    <t>012118</t>
  </si>
  <si>
    <t>016509</t>
  </si>
  <si>
    <t>COADIUTORE TEMPO DET.ANNUALE</t>
  </si>
  <si>
    <t>011124</t>
  </si>
  <si>
    <t>011CNA</t>
  </si>
  <si>
    <t>PROFESSORI</t>
  </si>
  <si>
    <t>PR</t>
  </si>
  <si>
    <t>PERSONALE ELEVATE PROFESSIONALITA</t>
  </si>
  <si>
    <t>EP</t>
  </si>
  <si>
    <t>PERSONALE DELLE AREE</t>
  </si>
  <si>
    <t>PA</t>
  </si>
  <si>
    <t>IND. DI VACANZA CONTRATTUALE</t>
  </si>
  <si>
    <t>COMPENSO ORE ECCEDENTI</t>
  </si>
  <si>
    <t>C.I.A. COMP. INDIV. ACCESSORIO-INDENN. DIREZ. DSGA P. FISSA</t>
  </si>
  <si>
    <t>RETRIB. PROF.LE DOCENTI</t>
  </si>
  <si>
    <t>RETRIBUZIONE DI POSIZIONE</t>
  </si>
  <si>
    <t>RETRIBUZIONE DI POSIZIONE - QUOTA VARIABILE</t>
  </si>
  <si>
    <t>RETRIBUZIONE DI RISULTATO</t>
  </si>
  <si>
    <t>I422</t>
  </si>
  <si>
    <t>I131</t>
  </si>
  <si>
    <t>I152</t>
  </si>
  <si>
    <t>I155</t>
  </si>
  <si>
    <t>I207</t>
  </si>
  <si>
    <t>I507</t>
  </si>
  <si>
    <t>I212</t>
  </si>
  <si>
    <t>INDENNITA' DI ESAME</t>
  </si>
  <si>
    <t>ATTIVITA' AGGIUNTIVE</t>
  </si>
  <si>
    <t>IND. DI FUNZIONI SUP. E DI REGGENZA</t>
  </si>
  <si>
    <t>IND. DIREZIONE INCARIC. DELLA DIRIG.</t>
  </si>
  <si>
    <t>INDENNITA' DI AMMINISTRAZIONE</t>
  </si>
  <si>
    <t>S124</t>
  </si>
  <si>
    <t>S127</t>
  </si>
  <si>
    <t>S128</t>
  </si>
  <si>
    <t>S129</t>
  </si>
  <si>
    <t>S130</t>
  </si>
  <si>
    <t>AT</t>
  </si>
  <si>
    <t>F69F</t>
  </si>
  <si>
    <t>F70F</t>
  </si>
  <si>
    <t>F71F</t>
  </si>
  <si>
    <t>F72F</t>
  </si>
  <si>
    <t>F73F</t>
  </si>
  <si>
    <t>F74F</t>
  </si>
  <si>
    <t>F75F</t>
  </si>
  <si>
    <t>F998</t>
  </si>
  <si>
    <t>F86H</t>
  </si>
  <si>
    <t>F50H</t>
  </si>
  <si>
    <t>F51H</t>
  </si>
  <si>
    <t>F76F</t>
  </si>
  <si>
    <t>F995</t>
  </si>
  <si>
    <t>F999</t>
  </si>
  <si>
    <t>F91H</t>
  </si>
  <si>
    <t>U508</t>
  </si>
  <si>
    <t>U509</t>
  </si>
  <si>
    <t>U449</t>
  </si>
  <si>
    <t>F77F</t>
  </si>
  <si>
    <t>F78F</t>
  </si>
  <si>
    <t>F79F</t>
  </si>
  <si>
    <t>F07H</t>
  </si>
  <si>
    <t>F80F</t>
  </si>
  <si>
    <t>F81F</t>
  </si>
  <si>
    <t>F82F</t>
  </si>
  <si>
    <t>F83F</t>
  </si>
  <si>
    <t>U839</t>
  </si>
  <si>
    <t>U841</t>
  </si>
  <si>
    <t>U842</t>
  </si>
  <si>
    <t>U998</t>
  </si>
  <si>
    <t>Indicare il numero dei contratti di collaborazione coordinata e continuativa.</t>
  </si>
  <si>
    <t>Indicare il numero degli incarichi libero professionale, studio, ricerca e consulenza.</t>
  </si>
  <si>
    <t>Indicare il numero di contratti per prestazioni professionali consistenti nella resa di servizi o adempimenti obbligatori per legge.</t>
  </si>
  <si>
    <t>Indicare il totale delle somme trattenute ai dipendenti nell'anno di rilevazione per le assenze per malattia in applicazione dell'art. 71 del D.L. n. 112 del 25/06/2008 convertito in L. 133/2008.</t>
  </si>
  <si>
    <t>Indicare il numero delle unita rilevate in tabella 1 tra i "presenti al 31.12" che appartengono alle categorie protette (Legge n.68/99).</t>
  </si>
  <si>
    <t>Quanti sono i dipendenti al 31.12 in aspettativa per dottorato di ricerca con retribuzione a carico dell'amministrazione ai sensi dell’articolo 2 della legge 476/1984 e s.m.?</t>
  </si>
  <si>
    <t>Quante persone sono state impiegate nell'anno (a tempo determinato, con  co.co.co. o con incarichi) il cui costo e totalmente sostenuto con finanziamenti esterni dell'unione europea o di privati?</t>
  </si>
  <si>
    <t>Indicare il numero delle unita rilevate in tabella 1 tra i "presenti al 31.12" che risultavano titolari di permessi per legge n. 104/92.</t>
  </si>
  <si>
    <t>Indicare il numero delle unita rilevate in tabella 1 tra i "presenti al 31.12" che risultavano titolari di permessi ai sensi dell'art. 42, c.5 D.lgs.151/2001.</t>
  </si>
  <si>
    <t>T12 non compilata o assenze comunicate &gt; gg lavorabili (</t>
  </si>
  <si>
    <t>INDENNITA' ART.42, COMMA 5-TER, D.LGS. 151/2001</t>
  </si>
  <si>
    <t>COMPETENZE PERSONALE COMANDATO /DISTACCATO PRESSO L'AMM.NE</t>
  </si>
  <si>
    <t>I424</t>
  </si>
  <si>
    <t>S761</t>
  </si>
  <si>
    <t>TOTALE del personale da distribuire</t>
  </si>
  <si>
    <t>Domande SI_1</t>
  </si>
  <si>
    <t>Unità annue
dichiarate in SI_1</t>
  </si>
  <si>
    <t>Totale presenti al
31-12 dichiarati in T1</t>
  </si>
  <si>
    <t>Controllo</t>
  </si>
  <si>
    <t>Assenze dichiarate</t>
  </si>
  <si>
    <t xml:space="preserve">Compresenza </t>
  </si>
  <si>
    <t>REFERENTE DA CONTATTARE</t>
  </si>
  <si>
    <t>IN 3</t>
  </si>
  <si>
    <t>VOCI DI SPESA RILEVATE</t>
  </si>
  <si>
    <t>IMPORTO SICO</t>
  </si>
  <si>
    <t>TABELLA 12</t>
  </si>
  <si>
    <t>A999</t>
  </si>
  <si>
    <t>TABELLA 13</t>
  </si>
  <si>
    <t>###</t>
  </si>
  <si>
    <t>ASSEGNI NUCLEO FAMILIARE</t>
  </si>
  <si>
    <t>GESTIONE MENSE</t>
  </si>
  <si>
    <t>CONTRATTI PER RESA SERVIZI /ADEMPIMENTI OBBLIGATORI PER LEGGE</t>
  </si>
  <si>
    <t xml:space="preserve">CONTRIBUTI A CARICO DELL'AMMINISTRAZIONE SU COMPETENZE FISSE ED ACCESSORIE </t>
  </si>
  <si>
    <t xml:space="preserve">IRAP </t>
  </si>
  <si>
    <t>SOMME RIMBORSATE ALLE AMMINISTRAZIONI PER SPESE DI PERSONALE (sommatoria dei diversi rimborsi presenti in tabella 14)</t>
  </si>
  <si>
    <t>P998</t>
  </si>
  <si>
    <t>TOTALE GENERALE</t>
  </si>
  <si>
    <t>RIMBORSI RICEVUTI  DALLE AMMINISTRAZIONI PER SPESE DI PERSONALE  (a riduzione) (sommatoria dei diversi rimborsi presenti in tabella 14)</t>
  </si>
  <si>
    <t>P999</t>
  </si>
  <si>
    <t>TOTALE GENERALE AL NETTO DEI RIMBORSI</t>
  </si>
  <si>
    <t>IMPORTO BILANCIO (*)</t>
  </si>
  <si>
    <t>TRC</t>
  </si>
  <si>
    <t>NOTE: Elenco Istituzioni ed importi dei rimborsi effettuati (**)</t>
  </si>
  <si>
    <t>NOTE: Elenco Istituzioni ed importi dei rimborsi ricevuti (***)</t>
  </si>
  <si>
    <t>(**) campo riservato all'inserimento delle informazioni di dettaglio (nome Istituzione ed importo) riguardanti i rimborsi effettuati (P071, P074). Eventuali note su altre voci di spesa dovranno essere immesse nel campo "note e chiarimenti" della SI_1</t>
  </si>
  <si>
    <t>(***) campo riservato all'inserimento delle informazioni di dettaglio (nome Istituzione ed importo) riguardanti i rimborsi ricevuti (P090, P098, P099). Eventuali note su altre voci di spesa dovranno essere immesse nel campo "note e chiarimenti" della SI_1</t>
  </si>
  <si>
    <t>SOMME CORRISPOSTE AD AGENZIA DI SOMMINISTRAZIONE (INTERINALI)</t>
  </si>
  <si>
    <t>ONERI PER I CONTRATTI DI SOMMINISTRAZIONE (INTERINALI)</t>
  </si>
  <si>
    <t xml:space="preserve">RETRIBUZIONI PERSONALE A TEMPO DETERMINATO </t>
  </si>
  <si>
    <t>QUOTE ANNUE DI ACCANTONAMENTO  TFR O ALTRA INDENNITA'  FINE SERVIZIO</t>
  </si>
  <si>
    <t>COMPENSI PER PERSONALE ADDETTO A LAVORI SOCIALMENTE UTILI</t>
  </si>
  <si>
    <t>C21</t>
  </si>
  <si>
    <t>Personale assunto con procedure Art. 35, c.3-Bis, DLGS 156/01</t>
  </si>
  <si>
    <t>Personale assunto con procedure Art. 4, c.6,  L. 125/13</t>
  </si>
  <si>
    <t>A35</t>
  </si>
  <si>
    <t>A40</t>
  </si>
  <si>
    <t>CONTRIBUTI A CARICO DELL'AMM.NE PER FONDI PREV. COMPLEMENTARE</t>
  </si>
  <si>
    <t>P035</t>
  </si>
  <si>
    <t>Si</t>
  </si>
  <si>
    <t>No</t>
  </si>
  <si>
    <r>
      <rPr>
        <b/>
        <sz val="7"/>
        <rFont val="Helv"/>
        <family val="0"/>
      </rPr>
      <t>IRAP</t>
    </r>
    <r>
      <rPr>
        <sz val="7"/>
        <rFont val="Helv"/>
        <family val="0"/>
      </rPr>
      <t xml:space="preserve">
</t>
    </r>
    <r>
      <rPr>
        <b/>
        <sz val="7"/>
        <rFont val="Helv"/>
        <family val="0"/>
      </rPr>
      <t>Commerciale</t>
    </r>
  </si>
  <si>
    <t>Coerenza T1 con personale T3 OUT</t>
  </si>
  <si>
    <t>Coerenza distribuzione territoriale</t>
  </si>
  <si>
    <t>a&gt;=(e+f+g+h+i)</t>
  </si>
  <si>
    <t>l&gt;=(p+q+r+s+t)</t>
  </si>
  <si>
    <t>sono presenti unità in T1 o personale esterno in T3, ma non assenze in T11</t>
  </si>
  <si>
    <t>Totale Fondo posizione e risultato</t>
  </si>
  <si>
    <t>F96H</t>
  </si>
  <si>
    <t>Economie aggiuntive (ART. 16 CC. 4-5 L. 111/11)</t>
  </si>
  <si>
    <t>Totale Fondo d'istituto</t>
  </si>
  <si>
    <t>PROFESSORI DI PRIMA FASCIA T. DET. TERMINE ATTIV DIDATT</t>
  </si>
  <si>
    <t>DIRETTORE AMMINISTRATIVO T. DET. TERMINE ATTIV DIDATT(EP2)</t>
  </si>
  <si>
    <t>DIRETTORE UFF. RAGIONERIA T. DET. TERM. ATTIV DIDATT(EP1)</t>
  </si>
  <si>
    <t>COORD. BIBL., COORD. TEC. E AMM. T. DET. TERM. ATTIV DIDATT</t>
  </si>
  <si>
    <t>ASSISTENTE AMMINISTRATIVO TEM.DET. TERMINE ATTIV DIDATT</t>
  </si>
  <si>
    <t>ATTENZIONE: Per gli Enti che non sono tenuti all’invio della Tabella 10, la Tavola va considerata con riferimento al diagnostico della colonna “Coerenza T1 con personale T3 OUT”</t>
  </si>
  <si>
    <t>Risorse storiche (art. 42 cc. 1, 3, 4 ccnl 00-01)</t>
  </si>
  <si>
    <t>Incrementi ccnl 00-01 (art. 42 c. 2 l. a e c. 5)</t>
  </si>
  <si>
    <t>Incrementi ccnl 02-05 (art. 55 c. 2)</t>
  </si>
  <si>
    <t>Incrementi ccnl 04-05 (art. 4 c. 2)</t>
  </si>
  <si>
    <t>Incrementi ccnl 06-09 (art. 25 c. 2)</t>
  </si>
  <si>
    <t>Incrementi ccnl 08-09 (art. 4 c. 2)</t>
  </si>
  <si>
    <t>RIA pers. cess. (art. 55 c. 3 l. a ccnl 02-05)</t>
  </si>
  <si>
    <t>Altre risorse fisse con carattere di certezza e stabilità</t>
  </si>
  <si>
    <t>Altre decurtazione del fondo /  parte fissa</t>
  </si>
  <si>
    <t>Entrate conto terzi o utenza o sponsorizz. (art 43 l 449/97)</t>
  </si>
  <si>
    <t>Risparmi di gestione (art. 43 l. 449/1997)</t>
  </si>
  <si>
    <t>Ris. incarichi agg.vi (art. 55 c. 3 l. c ccnl 02-05)</t>
  </si>
  <si>
    <t>Altre risorse variabili</t>
  </si>
  <si>
    <t>Somme non utilizzate fondo anno precedente</t>
  </si>
  <si>
    <t>Altre decurtazioni del fondo /  parte variabile</t>
  </si>
  <si>
    <t>Retribuzione di posizione - parte fissa</t>
  </si>
  <si>
    <t>Retribuzione di posizione - parte variabile</t>
  </si>
  <si>
    <t>Retribuzione di risultato</t>
  </si>
  <si>
    <t>Risorse storiche 2003 e increm. ccnl 02-05 (art. 71 c. 1)</t>
  </si>
  <si>
    <t>Incrementi ccnl 04-05 (art. 8 c. 1)</t>
  </si>
  <si>
    <t>Incrementi ccnl 06-09 (art. 17 c. 1)</t>
  </si>
  <si>
    <t>Incrementi ccnl 08-09 (art. 4 c. 1)</t>
  </si>
  <si>
    <t>Risorse carattere certezza e stabilità da eell e altri enti</t>
  </si>
  <si>
    <t>Altre decurtazione del fondo / parte fissa</t>
  </si>
  <si>
    <t>Risorse variabili da eell e altri enti</t>
  </si>
  <si>
    <t>Risorse variabili da privati</t>
  </si>
  <si>
    <t>Risorse variabili da unione europea</t>
  </si>
  <si>
    <t>Economie aggiuntive (art. 16 cc. 4-5 L. 111/11)</t>
  </si>
  <si>
    <t>Quote vincolate/storiche personale EP</t>
  </si>
  <si>
    <t>Quote vincolate/storiche personale docente</t>
  </si>
  <si>
    <t>Quote vincolate/storiche personale ata</t>
  </si>
  <si>
    <t>Altri istituti non compresi fra i precedenti</t>
  </si>
  <si>
    <t>S997</t>
  </si>
  <si>
    <t>LSU/LPU(*)</t>
  </si>
  <si>
    <t>Personale stabilizzato da LSU/LPU</t>
  </si>
  <si>
    <t>COMPENSI PER PERSONALE LSU/LPU</t>
  </si>
  <si>
    <t>NOTE E CHIARIMENTI ALLA RILEVAZIONE
(max 1500 caratteri)</t>
  </si>
  <si>
    <t xml:space="preserve">Tavola di congruenza tra il personale a Tempo Determinato comunicato in T2 con la ripartizione dello stesso personale comunicato in T2A
</t>
  </si>
  <si>
    <t>Totale T2</t>
  </si>
  <si>
    <t>Totale T2A</t>
  </si>
  <si>
    <t>Confronto T2/T2A</t>
  </si>
  <si>
    <t>U+D</t>
  </si>
  <si>
    <t>a con d</t>
  </si>
  <si>
    <t>b con e</t>
  </si>
  <si>
    <t>IN 10</t>
  </si>
  <si>
    <r>
      <t xml:space="preserve">COGNOME </t>
    </r>
    <r>
      <rPr>
        <b/>
        <sz val="12"/>
        <rFont val="Arial"/>
        <family val="2"/>
      </rPr>
      <t>*</t>
    </r>
  </si>
  <si>
    <r>
      <t xml:space="preserve">NOME </t>
    </r>
    <r>
      <rPr>
        <b/>
        <sz val="12"/>
        <rFont val="Arial"/>
        <family val="2"/>
      </rPr>
      <t>*</t>
    </r>
  </si>
  <si>
    <r>
      <t xml:space="preserve">E-Mail </t>
    </r>
    <r>
      <rPr>
        <b/>
        <sz val="12"/>
        <rFont val="Arial"/>
        <family val="2"/>
      </rPr>
      <t>*</t>
    </r>
  </si>
  <si>
    <r>
      <rPr>
        <sz val="8"/>
        <rFont val="Arial"/>
        <family val="2"/>
      </rPr>
      <t xml:space="preserve">TELEFONO </t>
    </r>
    <r>
      <rPr>
        <b/>
        <sz val="12"/>
        <rFont val="Arial"/>
        <family val="2"/>
      </rPr>
      <t>*</t>
    </r>
  </si>
  <si>
    <t>(sono evidenziate quelle valorizzate nella T1)</t>
  </si>
  <si>
    <t>ARRETRATI A.P. PER COMPENSI RISULTATO/ PRODUTTIVITA'</t>
  </si>
  <si>
    <t>(sono evidenziate le qualifiche valorizzate per l'anno)</t>
  </si>
  <si>
    <t>Risoluz. rapporto di lavoro</t>
  </si>
  <si>
    <t>Somme
dichiarate in SI_1</t>
  </si>
  <si>
    <t>PROFESSORI DI SECONDA FASCIA T. DET. TERMINE ATTIV DIDATT</t>
  </si>
  <si>
    <t>DIRETTORE DELL UFFICIO DI RAGIONERIA TEMPO DET.ANNUALE (EP1)</t>
  </si>
  <si>
    <t>COLLAB. TEC. AMM. BIBL. E DI LAB. T. D. TERM. ATTIV DIDATT</t>
  </si>
  <si>
    <t>COADIUTORE TEMPO DET. TERMINE ATTIV DIDATT</t>
  </si>
  <si>
    <t>Totale Destinazioni a valere su risorse fisse</t>
  </si>
  <si>
    <t>Destinazioni erogate a valere su risorse variabili</t>
  </si>
  <si>
    <t>RETRIBUZIONE DI RISULTATO - VAR</t>
  </si>
  <si>
    <t>U03I</t>
  </si>
  <si>
    <t>Totale Destinazioni a valere su risorse variabili</t>
  </si>
  <si>
    <t>F27I</t>
  </si>
  <si>
    <t>ALTRI ISTITUTI NON COMPRESI FRA I PRECEDENTI - STAB</t>
  </si>
  <si>
    <t>U01I</t>
  </si>
  <si>
    <t>Quote personale ep - var</t>
  </si>
  <si>
    <t>U16I</t>
  </si>
  <si>
    <t>Quote personale docente - var</t>
  </si>
  <si>
    <t>U17I</t>
  </si>
  <si>
    <t>Quote personale ata- var</t>
  </si>
  <si>
    <t>U18I</t>
  </si>
  <si>
    <t>ASSEGNO AD PERSONAM</t>
  </si>
  <si>
    <t>I418</t>
  </si>
  <si>
    <t xml:space="preserve"> Incongruenza 1</t>
  </si>
  <si>
    <t>Tavola di compresenza tra valori di organico di personale con rapporto di lavoro flessibile di Scheda Informativa 1 e relativa spesa di Tabella 14</t>
  </si>
  <si>
    <t>Tipologia lavoro flessibile (SI_1)</t>
  </si>
  <si>
    <t>Unità annue 
(SI_1)</t>
  </si>
  <si>
    <t xml:space="preserve"> Incongruenza 11</t>
  </si>
  <si>
    <t>Tavola di compresenza tra valori di organico di personale con rapporto di lavoro flessibile di Tabella 2 e relativa spesa di Tabella 14</t>
  </si>
  <si>
    <t>Tipologia lavoro flessibile (Tab 2)</t>
  </si>
  <si>
    <t>Unità annue 
(Tab 2)</t>
  </si>
  <si>
    <t xml:space="preserve"> Incongruenza 3</t>
  </si>
  <si>
    <t>Tavola di coerenza tra valori dichiarati in SI_1 come appartenenti a categorie protette, titolari di permessi per legge n. 104/92, titolari di permessi ai sensi dell'art. 42, comma 5 d.lgs. 151/2001, con il personale indicato in  Tab. 1</t>
  </si>
  <si>
    <t xml:space="preserve"> Incongruenza 12</t>
  </si>
  <si>
    <t xml:space="preserve">Tavola di compresenza tra valori dichiarati nella SI_1 come titolari di permessi per legge n. 104/92 e titolari di permessi ai sensi dell'art. 42, comma 5 d.lgs. 151/2001, con le giornate di assenza indicate in Tab. 11 </t>
  </si>
  <si>
    <t xml:space="preserve"> Incongruenza 13</t>
  </si>
  <si>
    <t>Tavola di compresenza tra le somme trattenute per malattia indicate nella SI_1 e i giorni di assenza per malattia retribuita indicati nella Tab. 11</t>
  </si>
  <si>
    <t>Tavola di congruenza tra i giorni di assenza indicati nella Tabella 11 e i valori di organico inseriti nelle Tabelle 1, 3, 4, 5 (incongruenza 7)</t>
  </si>
  <si>
    <t xml:space="preserve">Tavola di congruenza tra i giorni totali pro-capite di assenza (escluse assenze per formazione e quelle non retribuite) calcolati dai valori indicati nella Tabella 11, con il numero MAX dei gg lavorativi annui
</t>
  </si>
  <si>
    <t>Totale della Tabella T11 esclusa formazione e altre ass. non retribuite</t>
  </si>
  <si>
    <t>Mensilità/12</t>
  </si>
  <si>
    <t>Incongruenza 14</t>
  </si>
  <si>
    <t>IN 11</t>
  </si>
  <si>
    <t>IN 12</t>
  </si>
  <si>
    <t>IN 13</t>
  </si>
  <si>
    <t>IN 14</t>
  </si>
  <si>
    <t>IN 15</t>
  </si>
  <si>
    <r>
      <t>*(asterisco): si intende campo obbligatorio</t>
    </r>
  </si>
  <si>
    <t>SQUADRATURA 9</t>
  </si>
  <si>
    <t>Non operativa in assenza di corrispondente scheda SICI</t>
  </si>
  <si>
    <t>Fondo retribuzione di posizione e risultato</t>
  </si>
  <si>
    <t>Risorse / Costituzione del fondo</t>
  </si>
  <si>
    <t>Impeghi / Importi erogati</t>
  </si>
  <si>
    <t>Risorse fisse aventi carattere di certezza e stabilità</t>
  </si>
  <si>
    <t>Destinazioni erogate a valere su risorse fisse</t>
  </si>
  <si>
    <t>Fondo</t>
  </si>
  <si>
    <t>Natura</t>
  </si>
  <si>
    <t>Voce</t>
  </si>
  <si>
    <t>Dato</t>
  </si>
  <si>
    <t>INCONGRUENZA 15</t>
  </si>
  <si>
    <t>Decurtazione permanente ex art. 1 c. 456 l. 147/2013</t>
  </si>
  <si>
    <t>Dec Fondo/parte fissa limite 2015 (art.1 c. 236 L.208/15)</t>
  </si>
  <si>
    <t>F00G</t>
  </si>
  <si>
    <t>Dec Fondo/parte fissa rid prop pers (art.1 c. 236 L.208/15)</t>
  </si>
  <si>
    <t>F00H</t>
  </si>
  <si>
    <t>Dec Fondo/parte variab. limite 2015(art.1 c.236 l.208/15)</t>
  </si>
  <si>
    <t>F00I</t>
  </si>
  <si>
    <t>Dec Fondo/parte variab. rid prop pers(art.1 c.236 l.208/15)</t>
  </si>
  <si>
    <t>F00L</t>
  </si>
  <si>
    <t>Fondo dell'istituzione scolastica</t>
  </si>
  <si>
    <t>0733 405111</t>
  </si>
  <si>
    <t>amministrazione@abamc.it</t>
  </si>
  <si>
    <t>WWW.ABAMC.IT</t>
  </si>
  <si>
    <t>MASSI</t>
  </si>
  <si>
    <t>PAOLO</t>
  </si>
  <si>
    <t>p.massi51@gmail.com</t>
  </si>
  <si>
    <t>FRANZELLITTI</t>
  </si>
  <si>
    <t>ALESSIA</t>
  </si>
  <si>
    <t>alessia.franzellitti@miur.it</t>
  </si>
  <si>
    <t>RISSO</t>
  </si>
  <si>
    <t>VERA</t>
  </si>
  <si>
    <t>personale docente D.I. 27/12/2000 (registrato dallla Corte dei Conti 08/6/01 Reg. 2 FG.356)
Personale amministrativo e tecnico D.I. 05/11/01 ( registrato dallla Corte dei Conti 13/8/02 Reg. 6 FG.87) comunicato con nota Miur Afam prot. n. AF/3029/MGM del 02/08/02
nota:inseriti i modelli viventi a T.D.(n°.2) non in organico ma spesati dalla Ragioneria dello Stato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</si>
</sst>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  <numFmt numFmtId="210" formatCode="&quot;Attivo&quot;;&quot;Attivo&quot;;&quot;Inattivo&quot;"/>
  </numFmts>
  <fonts count="138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MS Serif"/>
      <family val="1"/>
    </font>
    <font>
      <sz val="10"/>
      <name val="Arial"/>
      <family val="2"/>
    </font>
    <font>
      <b/>
      <sz val="6"/>
      <name val="Arial"/>
      <family val="2"/>
    </font>
    <font>
      <sz val="7"/>
      <name val="MS Serif"/>
      <family val="1"/>
    </font>
    <font>
      <sz val="6"/>
      <name val="MS Serif"/>
      <family val="1"/>
    </font>
    <font>
      <b/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b/>
      <sz val="6"/>
      <name val="MS Serif"/>
      <family val="1"/>
    </font>
    <font>
      <i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Helv"/>
      <family val="0"/>
    </font>
    <font>
      <b/>
      <sz val="14"/>
      <color indexed="10"/>
      <name val="Helv"/>
      <family val="0"/>
    </font>
    <font>
      <b/>
      <i/>
      <sz val="12"/>
      <name val="Arial"/>
      <family val="2"/>
    </font>
    <font>
      <b/>
      <i/>
      <sz val="12"/>
      <name val="Helv"/>
      <family val="0"/>
    </font>
    <font>
      <sz val="12"/>
      <name val="Helv"/>
      <family val="0"/>
    </font>
    <font>
      <sz val="6"/>
      <name val="Arial"/>
      <family val="2"/>
    </font>
    <font>
      <b/>
      <i/>
      <sz val="11"/>
      <name val="Arial"/>
      <family val="2"/>
    </font>
    <font>
      <b/>
      <sz val="14"/>
      <name val="Helv"/>
      <family val="0"/>
    </font>
    <font>
      <sz val="10"/>
      <name val="Courier"/>
      <family val="3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sz val="7.5"/>
      <name val="Arial"/>
      <family val="2"/>
    </font>
    <font>
      <sz val="8"/>
      <name val="Courier"/>
      <family val="3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2"/>
      <name val="Courier"/>
      <family val="3"/>
    </font>
    <font>
      <b/>
      <sz val="8"/>
      <color indexed="9"/>
      <name val="Helv"/>
      <family val="0"/>
    </font>
    <font>
      <sz val="8"/>
      <color indexed="9"/>
      <name val="Helv"/>
      <family val="0"/>
    </font>
    <font>
      <b/>
      <sz val="16"/>
      <name val="Arial"/>
      <family val="2"/>
    </font>
    <font>
      <sz val="8.5"/>
      <name val="MS Serif"/>
      <family val="1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9"/>
      <color indexed="10"/>
      <name val="Courier"/>
      <family val="3"/>
    </font>
    <font>
      <b/>
      <i/>
      <sz val="9"/>
      <color indexed="48"/>
      <name val="Courier"/>
      <family val="3"/>
    </font>
    <font>
      <u val="single"/>
      <sz val="6.4"/>
      <color indexed="12"/>
      <name val="Arial"/>
      <family val="2"/>
    </font>
    <font>
      <sz val="10"/>
      <color indexed="10"/>
      <name val="Courier"/>
      <family val="3"/>
    </font>
    <font>
      <sz val="11"/>
      <name val="Courier"/>
      <family val="3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Courier"/>
      <family val="3"/>
    </font>
    <font>
      <b/>
      <i/>
      <sz val="13"/>
      <color indexed="8"/>
      <name val="Arial"/>
      <family val="2"/>
    </font>
    <font>
      <b/>
      <sz val="13"/>
      <color indexed="10"/>
      <name val="Arial"/>
      <family val="2"/>
    </font>
    <font>
      <b/>
      <i/>
      <sz val="9"/>
      <name val="Arial"/>
      <family val="2"/>
    </font>
    <font>
      <sz val="8"/>
      <name val="Trebuchet MS"/>
      <family val="2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7"/>
      <name val="Small Fonts"/>
      <family val="2"/>
    </font>
    <font>
      <sz val="7"/>
      <color indexed="30"/>
      <name val="Arial"/>
      <family val="2"/>
    </font>
    <font>
      <sz val="8"/>
      <color indexed="30"/>
      <name val="Arial"/>
      <family val="2"/>
    </font>
    <font>
      <b/>
      <sz val="11"/>
      <color indexed="8"/>
      <name val="Arial"/>
      <family val="2"/>
    </font>
    <font>
      <b/>
      <sz val="6"/>
      <color indexed="8"/>
      <name val="Arial"/>
      <family val="2"/>
    </font>
    <font>
      <i/>
      <sz val="10"/>
      <name val="Arial"/>
      <family val="2"/>
    </font>
    <font>
      <i/>
      <sz val="8.2"/>
      <name val="Arial"/>
      <family val="2"/>
    </font>
    <font>
      <b/>
      <sz val="9"/>
      <color indexed="48"/>
      <name val="Courier"/>
      <family val="3"/>
    </font>
    <font>
      <u val="single"/>
      <sz val="8"/>
      <name val="Helv"/>
      <family val="0"/>
    </font>
    <font>
      <sz val="9"/>
      <name val="Helv"/>
      <family val="0"/>
    </font>
    <font>
      <u val="single"/>
      <sz val="10"/>
      <color indexed="12"/>
      <name val="Arial"/>
      <family val="2"/>
    </font>
    <font>
      <sz val="7"/>
      <name val="Helv"/>
      <family val="0"/>
    </font>
    <font>
      <b/>
      <sz val="7"/>
      <name val="Helv"/>
      <family val="0"/>
    </font>
    <font>
      <i/>
      <sz val="10"/>
      <name val="MS Serif"/>
      <family val="1"/>
    </font>
    <font>
      <b/>
      <sz val="14"/>
      <name val="Arial"/>
      <family val="2"/>
    </font>
    <font>
      <sz val="12"/>
      <name val="Cambria"/>
      <family val="1"/>
    </font>
    <font>
      <b/>
      <sz val="12"/>
      <name val="Helv"/>
      <family val="0"/>
    </font>
    <font>
      <sz val="2.25"/>
      <color indexed="8"/>
      <name val="Arial"/>
      <family val="0"/>
    </font>
    <font>
      <b/>
      <sz val="8"/>
      <color indexed="8"/>
      <name val="Arial"/>
      <family val="0"/>
    </font>
    <font>
      <sz val="2.75"/>
      <color indexed="8"/>
      <name val="Arial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8"/>
      <color indexed="10"/>
      <name val="Helv"/>
      <family val="0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Courier"/>
      <family val="3"/>
    </font>
    <font>
      <sz val="10"/>
      <color indexed="9"/>
      <name val="Arial"/>
      <family val="2"/>
    </font>
    <font>
      <b/>
      <sz val="10"/>
      <color indexed="10"/>
      <name val="Helv"/>
      <family val="0"/>
    </font>
    <font>
      <b/>
      <sz val="18"/>
      <color indexed="10"/>
      <name val="Times New Roman"/>
      <family val="1"/>
    </font>
    <font>
      <sz val="8"/>
      <color indexed="10"/>
      <name val="Helv"/>
      <family val="0"/>
    </font>
    <font>
      <sz val="8"/>
      <name val="Tahoma"/>
      <family val="2"/>
    </font>
    <font>
      <b/>
      <sz val="18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8"/>
      <color rgb="FFFF0000"/>
      <name val="Helv"/>
      <family val="0"/>
    </font>
    <font>
      <b/>
      <sz val="12"/>
      <color theme="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0"/>
      <name val="Arial"/>
      <family val="2"/>
    </font>
    <font>
      <sz val="10"/>
      <color theme="0"/>
      <name val="Courier"/>
      <family val="3"/>
    </font>
    <font>
      <sz val="8"/>
      <color theme="0"/>
      <name val="Helv"/>
      <family val="0"/>
    </font>
    <font>
      <sz val="10"/>
      <color theme="0"/>
      <name val="Arial"/>
      <family val="2"/>
    </font>
    <font>
      <b/>
      <sz val="10"/>
      <color rgb="FFFF0000"/>
      <name val="Helv"/>
      <family val="0"/>
    </font>
    <font>
      <b/>
      <sz val="18"/>
      <color rgb="FFFF0000"/>
      <name val="Times New Roman"/>
      <family val="1"/>
    </font>
    <font>
      <sz val="8"/>
      <color rgb="FFFF0000"/>
      <name val="Helv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gray0625"/>
    </fill>
  </fills>
  <borders count="1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thick"/>
      <bottom style="thin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/>
      <right style="double"/>
      <top style="thick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70" fillId="16" borderId="1" applyNumberFormat="0" applyAlignment="0" applyProtection="0"/>
    <xf numFmtId="0" fontId="71" fillId="0" borderId="2" applyNumberFormat="0" applyFill="0" applyAlignment="0" applyProtection="0"/>
    <xf numFmtId="0" fontId="72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21" borderId="0" applyNumberFormat="0" applyBorder="0" applyAlignment="0" applyProtection="0"/>
    <xf numFmtId="197" fontId="0" fillId="0" borderId="0" applyFont="0" applyFill="0" applyBorder="0" applyAlignment="0" applyProtection="0"/>
    <xf numFmtId="0" fontId="73" fillId="7" borderId="1" applyNumberFormat="0" applyAlignment="0" applyProtection="0"/>
    <xf numFmtId="0" fontId="125" fillId="0" borderId="0" applyNumberFormat="0" applyBorder="0" applyAlignment="0">
      <protection/>
    </xf>
    <xf numFmtId="40" fontId="4" fillId="0" borderId="0" applyFont="0" applyFill="0" applyBorder="0" applyAlignment="0" applyProtection="0"/>
    <xf numFmtId="41" fontId="55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3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8" fillId="23" borderId="4" applyNumberFormat="0" applyFont="0" applyAlignment="0" applyProtection="0"/>
    <xf numFmtId="0" fontId="75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3" borderId="0" applyNumberFormat="0" applyBorder="0" applyAlignment="0" applyProtection="0"/>
    <xf numFmtId="0" fontId="84" fillId="4" borderId="0" applyNumberFormat="0" applyBorder="0" applyAlignment="0" applyProtection="0"/>
    <xf numFmtId="172" fontId="4" fillId="0" borderId="0" applyFont="0" applyFill="0" applyBorder="0" applyAlignment="0" applyProtection="0"/>
    <xf numFmtId="194" fontId="55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1300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/>
    </xf>
    <xf numFmtId="0" fontId="6" fillId="0" borderId="14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Continuous" vertical="center"/>
      <protection/>
    </xf>
    <xf numFmtId="0" fontId="9" fillId="0" borderId="16" xfId="0" applyFont="1" applyFill="1" applyBorder="1" applyAlignment="1" applyProtection="1">
      <alignment horizontal="right" vertical="center"/>
      <protection/>
    </xf>
    <xf numFmtId="0" fontId="15" fillId="0" borderId="17" xfId="0" applyFont="1" applyFill="1" applyBorder="1" applyAlignment="1">
      <alignment horizontal="center"/>
    </xf>
    <xf numFmtId="0" fontId="9" fillId="0" borderId="18" xfId="0" applyFont="1" applyFill="1" applyBorder="1" applyAlignment="1" applyProtection="1">
      <alignment horizontal="centerContinuous" vertical="center" wrapText="1"/>
      <protection/>
    </xf>
    <xf numFmtId="0" fontId="9" fillId="0" borderId="19" xfId="0" applyFont="1" applyFill="1" applyBorder="1" applyAlignment="1" applyProtection="1">
      <alignment horizontal="centerContinuous" vertical="center"/>
      <protection/>
    </xf>
    <xf numFmtId="0" fontId="9" fillId="0" borderId="20" xfId="0" applyFont="1" applyFill="1" applyBorder="1" applyAlignment="1">
      <alignment horizontal="centerContinuous" vertical="center"/>
    </xf>
    <xf numFmtId="0" fontId="9" fillId="0" borderId="19" xfId="0" applyFont="1" applyFill="1" applyBorder="1" applyAlignment="1" applyProtection="1">
      <alignment horizontal="centerContinuous" vertical="center" wrapText="1"/>
      <protection/>
    </xf>
    <xf numFmtId="0" fontId="6" fillId="0" borderId="21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5" fillId="0" borderId="0" xfId="68" applyFont="1" applyBorder="1" applyAlignment="1" applyProtection="1">
      <alignment horizontal="left" vertical="top"/>
      <protection/>
    </xf>
    <xf numFmtId="0" fontId="6" fillId="0" borderId="0" xfId="68" applyFont="1" applyBorder="1" applyAlignment="1">
      <alignment horizontal="center"/>
      <protection/>
    </xf>
    <xf numFmtId="0" fontId="6" fillId="0" borderId="0" xfId="68" applyFont="1" applyBorder="1">
      <alignment/>
      <protection/>
    </xf>
    <xf numFmtId="0" fontId="6" fillId="0" borderId="0" xfId="68" applyFont="1">
      <alignment/>
      <protection/>
    </xf>
    <xf numFmtId="0" fontId="14" fillId="0" borderId="23" xfId="68" applyFont="1" applyFill="1" applyBorder="1" applyAlignment="1" applyProtection="1">
      <alignment horizontal="center" vertical="center"/>
      <protection/>
    </xf>
    <xf numFmtId="0" fontId="9" fillId="0" borderId="24" xfId="68" applyFont="1" applyFill="1" applyBorder="1" applyAlignment="1" applyProtection="1">
      <alignment horizontal="center" vertical="center"/>
      <protection/>
    </xf>
    <xf numFmtId="0" fontId="9" fillId="0" borderId="25" xfId="68" applyFont="1" applyFill="1" applyBorder="1" applyAlignment="1" applyProtection="1">
      <alignment horizontal="right" vertical="center"/>
      <protection/>
    </xf>
    <xf numFmtId="0" fontId="6" fillId="0" borderId="0" xfId="68" applyFont="1" applyAlignment="1">
      <alignment horizontal="center"/>
      <protection/>
    </xf>
    <xf numFmtId="0" fontId="17" fillId="0" borderId="0" xfId="67">
      <alignment/>
      <protection/>
    </xf>
    <xf numFmtId="0" fontId="9" fillId="0" borderId="26" xfId="67" applyFont="1" applyFill="1" applyBorder="1" applyAlignment="1" applyProtection="1">
      <alignment horizontal="center" vertical="center"/>
      <protection/>
    </xf>
    <xf numFmtId="0" fontId="19" fillId="0" borderId="27" xfId="67" applyFont="1" applyFill="1" applyBorder="1" applyAlignment="1" applyProtection="1">
      <alignment horizontal="centerContinuous" vertical="center" wrapText="1"/>
      <protection/>
    </xf>
    <xf numFmtId="0" fontId="19" fillId="0" borderId="0" xfId="67" applyFont="1" applyFill="1" applyBorder="1" applyAlignment="1" applyProtection="1">
      <alignment horizontal="centerContinuous" vertical="center" wrapText="1"/>
      <protection/>
    </xf>
    <xf numFmtId="0" fontId="19" fillId="0" borderId="28" xfId="67" applyFont="1" applyFill="1" applyBorder="1" applyAlignment="1" applyProtection="1">
      <alignment horizontal="center" vertical="center" wrapText="1"/>
      <protection/>
    </xf>
    <xf numFmtId="0" fontId="19" fillId="0" borderId="28" xfId="67" applyFont="1" applyFill="1" applyBorder="1" applyAlignment="1" applyProtection="1">
      <alignment horizontal="centerContinuous" vertical="center" wrapText="1"/>
      <protection/>
    </xf>
    <xf numFmtId="0" fontId="9" fillId="0" borderId="25" xfId="67" applyFont="1" applyFill="1" applyBorder="1" applyAlignment="1" applyProtection="1">
      <alignment horizontal="right" vertical="center"/>
      <protection/>
    </xf>
    <xf numFmtId="0" fontId="6" fillId="0" borderId="29" xfId="67" applyFont="1" applyFill="1" applyBorder="1" applyAlignment="1" applyProtection="1">
      <alignment horizontal="center"/>
      <protection/>
    </xf>
    <xf numFmtId="0" fontId="6" fillId="0" borderId="0" xfId="66" applyFont="1">
      <alignment/>
      <protection/>
    </xf>
    <xf numFmtId="0" fontId="7" fillId="0" borderId="0" xfId="66" applyFont="1">
      <alignment/>
      <protection/>
    </xf>
    <xf numFmtId="0" fontId="6" fillId="0" borderId="0" xfId="66" applyFont="1" applyAlignment="1">
      <alignment horizontal="center"/>
      <protection/>
    </xf>
    <xf numFmtId="0" fontId="6" fillId="0" borderId="10" xfId="66" applyFont="1" applyFill="1" applyBorder="1" applyAlignment="1">
      <alignment horizontal="centerContinuous"/>
      <protection/>
    </xf>
    <xf numFmtId="0" fontId="6" fillId="0" borderId="11" xfId="66" applyFont="1" applyFill="1" applyBorder="1" applyAlignment="1">
      <alignment horizontal="center"/>
      <protection/>
    </xf>
    <xf numFmtId="0" fontId="9" fillId="0" borderId="12" xfId="66" applyFont="1" applyFill="1" applyBorder="1" applyAlignment="1">
      <alignment horizontal="centerContinuous" vertical="center"/>
      <protection/>
    </xf>
    <xf numFmtId="0" fontId="6" fillId="0" borderId="12" xfId="66" applyFont="1" applyFill="1" applyBorder="1" applyAlignment="1">
      <alignment horizontal="centerContinuous" vertical="center"/>
      <protection/>
    </xf>
    <xf numFmtId="0" fontId="6" fillId="0" borderId="30" xfId="66" applyFont="1" applyFill="1" applyBorder="1" applyAlignment="1">
      <alignment horizontal="centerContinuous" vertical="center"/>
      <protection/>
    </xf>
    <xf numFmtId="0" fontId="9" fillId="0" borderId="24" xfId="66" applyFont="1" applyFill="1" applyBorder="1" applyAlignment="1" applyProtection="1">
      <alignment horizontal="center" vertical="center"/>
      <protection/>
    </xf>
    <xf numFmtId="0" fontId="6" fillId="0" borderId="17" xfId="66" applyFont="1" applyFill="1" applyBorder="1" applyAlignment="1">
      <alignment horizontal="center"/>
      <protection/>
    </xf>
    <xf numFmtId="0" fontId="20" fillId="0" borderId="31" xfId="66" applyFont="1" applyFill="1" applyBorder="1" applyAlignment="1" applyProtection="1">
      <alignment horizontal="center"/>
      <protection/>
    </xf>
    <xf numFmtId="0" fontId="20" fillId="0" borderId="32" xfId="66" applyFont="1" applyFill="1" applyBorder="1" applyAlignment="1" applyProtection="1">
      <alignment horizontal="center"/>
      <protection/>
    </xf>
    <xf numFmtId="0" fontId="20" fillId="0" borderId="33" xfId="66" applyFont="1" applyFill="1" applyBorder="1" applyAlignment="1" applyProtection="1">
      <alignment horizontal="center"/>
      <protection/>
    </xf>
    <xf numFmtId="0" fontId="9" fillId="0" borderId="25" xfId="66" applyFont="1" applyFill="1" applyBorder="1" applyAlignment="1" applyProtection="1">
      <alignment horizontal="right" vertical="center"/>
      <protection/>
    </xf>
    <xf numFmtId="0" fontId="6" fillId="0" borderId="29" xfId="66" applyFont="1" applyFill="1" applyBorder="1" applyAlignment="1" applyProtection="1">
      <alignment horizontal="center"/>
      <protection/>
    </xf>
    <xf numFmtId="0" fontId="6" fillId="0" borderId="0" xfId="65" applyFont="1">
      <alignment/>
      <protection/>
    </xf>
    <xf numFmtId="0" fontId="7" fillId="0" borderId="0" xfId="65" applyFont="1">
      <alignment/>
      <protection/>
    </xf>
    <xf numFmtId="0" fontId="6" fillId="0" borderId="0" xfId="65" applyFont="1" applyAlignment="1">
      <alignment horizontal="center"/>
      <protection/>
    </xf>
    <xf numFmtId="0" fontId="6" fillId="0" borderId="10" xfId="65" applyFont="1" applyFill="1" applyBorder="1" applyAlignment="1">
      <alignment horizontal="centerContinuous"/>
      <protection/>
    </xf>
    <xf numFmtId="0" fontId="6" fillId="0" borderId="11" xfId="65" applyFont="1" applyFill="1" applyBorder="1" applyAlignment="1">
      <alignment horizontal="center"/>
      <protection/>
    </xf>
    <xf numFmtId="0" fontId="9" fillId="0" borderId="12" xfId="65" applyFont="1" applyFill="1" applyBorder="1" applyAlignment="1">
      <alignment horizontal="centerContinuous" vertical="center"/>
      <protection/>
    </xf>
    <xf numFmtId="0" fontId="6" fillId="0" borderId="12" xfId="65" applyFont="1" applyFill="1" applyBorder="1" applyAlignment="1">
      <alignment horizontal="centerContinuous" vertical="center"/>
      <protection/>
    </xf>
    <xf numFmtId="0" fontId="6" fillId="0" borderId="30" xfId="65" applyFont="1" applyFill="1" applyBorder="1" applyAlignment="1">
      <alignment horizontal="centerContinuous" vertical="center"/>
      <protection/>
    </xf>
    <xf numFmtId="0" fontId="9" fillId="0" borderId="24" xfId="65" applyFont="1" applyFill="1" applyBorder="1" applyAlignment="1" applyProtection="1">
      <alignment horizontal="center" vertical="center"/>
      <protection/>
    </xf>
    <xf numFmtId="0" fontId="9" fillId="0" borderId="18" xfId="65" applyFont="1" applyFill="1" applyBorder="1" applyAlignment="1" applyProtection="1">
      <alignment horizontal="centerContinuous" vertical="center"/>
      <protection/>
    </xf>
    <xf numFmtId="0" fontId="6" fillId="0" borderId="17" xfId="65" applyFont="1" applyFill="1" applyBorder="1" applyAlignment="1">
      <alignment horizontal="center"/>
      <protection/>
    </xf>
    <xf numFmtId="0" fontId="20" fillId="0" borderId="31" xfId="65" applyFont="1" applyFill="1" applyBorder="1" applyAlignment="1" applyProtection="1">
      <alignment horizontal="center"/>
      <protection/>
    </xf>
    <xf numFmtId="0" fontId="20" fillId="0" borderId="32" xfId="65" applyFont="1" applyFill="1" applyBorder="1" applyAlignment="1" applyProtection="1">
      <alignment horizontal="center"/>
      <protection/>
    </xf>
    <xf numFmtId="0" fontId="20" fillId="0" borderId="33" xfId="65" applyFont="1" applyFill="1" applyBorder="1" applyAlignment="1" applyProtection="1">
      <alignment horizontal="center"/>
      <protection/>
    </xf>
    <xf numFmtId="0" fontId="9" fillId="0" borderId="25" xfId="65" applyFont="1" applyFill="1" applyBorder="1" applyAlignment="1" applyProtection="1">
      <alignment horizontal="right" vertical="center"/>
      <protection/>
    </xf>
    <xf numFmtId="0" fontId="6" fillId="0" borderId="29" xfId="65" applyFont="1" applyFill="1" applyBorder="1" applyAlignment="1" applyProtection="1">
      <alignment horizontal="center"/>
      <protection/>
    </xf>
    <xf numFmtId="0" fontId="5" fillId="0" borderId="0" xfId="64" applyFont="1" applyBorder="1" applyAlignment="1" applyProtection="1">
      <alignment horizontal="left" vertical="top"/>
      <protection/>
    </xf>
    <xf numFmtId="0" fontId="6" fillId="0" borderId="0" xfId="64" applyFont="1" applyBorder="1" applyAlignment="1">
      <alignment horizontal="center"/>
      <protection/>
    </xf>
    <xf numFmtId="0" fontId="6" fillId="0" borderId="0" xfId="64" applyFont="1" applyBorder="1">
      <alignment/>
      <protection/>
    </xf>
    <xf numFmtId="0" fontId="6" fillId="0" borderId="0" xfId="64" applyFont="1" applyBorder="1" applyAlignment="1" applyProtection="1">
      <alignment horizontal="left"/>
      <protection/>
    </xf>
    <xf numFmtId="0" fontId="6" fillId="0" borderId="0" xfId="64" applyFont="1">
      <alignment/>
      <protection/>
    </xf>
    <xf numFmtId="0" fontId="6" fillId="0" borderId="10" xfId="64" applyFont="1" applyFill="1" applyBorder="1" applyAlignment="1">
      <alignment horizontal="centerContinuous"/>
      <protection/>
    </xf>
    <xf numFmtId="0" fontId="6" fillId="0" borderId="11" xfId="64" applyFont="1" applyFill="1" applyBorder="1" applyAlignment="1">
      <alignment horizontal="center"/>
      <protection/>
    </xf>
    <xf numFmtId="0" fontId="9" fillId="0" borderId="12" xfId="64" applyFont="1" applyFill="1" applyBorder="1" applyAlignment="1">
      <alignment horizontal="centerContinuous" vertical="center"/>
      <protection/>
    </xf>
    <xf numFmtId="0" fontId="6" fillId="0" borderId="12" xfId="64" applyFont="1" applyFill="1" applyBorder="1" applyAlignment="1">
      <alignment horizontal="centerContinuous" vertical="center"/>
      <protection/>
    </xf>
    <xf numFmtId="0" fontId="9" fillId="0" borderId="24" xfId="64" applyFont="1" applyFill="1" applyBorder="1" applyAlignment="1" applyProtection="1">
      <alignment horizontal="center" vertical="center"/>
      <protection/>
    </xf>
    <xf numFmtId="0" fontId="6" fillId="0" borderId="17" xfId="64" applyFont="1" applyFill="1" applyBorder="1" applyAlignment="1">
      <alignment horizontal="center"/>
      <protection/>
    </xf>
    <xf numFmtId="0" fontId="9" fillId="0" borderId="25" xfId="64" applyFont="1" applyFill="1" applyBorder="1" applyAlignment="1" applyProtection="1">
      <alignment horizontal="right" vertical="center"/>
      <protection/>
    </xf>
    <xf numFmtId="0" fontId="6" fillId="0" borderId="29" xfId="64" applyFont="1" applyFill="1" applyBorder="1" applyAlignment="1" applyProtection="1">
      <alignment horizontal="center"/>
      <protection/>
    </xf>
    <xf numFmtId="0" fontId="6" fillId="0" borderId="0" xfId="64" applyFont="1" applyAlignment="1">
      <alignment horizontal="center"/>
      <protection/>
    </xf>
    <xf numFmtId="0" fontId="6" fillId="0" borderId="0" xfId="63" applyFont="1">
      <alignment/>
      <protection/>
    </xf>
    <xf numFmtId="0" fontId="6" fillId="0" borderId="10" xfId="63" applyFont="1" applyFill="1" applyBorder="1" applyAlignment="1">
      <alignment horizontal="centerContinuous"/>
      <protection/>
    </xf>
    <xf numFmtId="0" fontId="6" fillId="0" borderId="11" xfId="63" applyFont="1" applyFill="1" applyBorder="1" applyAlignment="1">
      <alignment horizontal="center"/>
      <protection/>
    </xf>
    <xf numFmtId="0" fontId="6" fillId="0" borderId="12" xfId="63" applyFont="1" applyFill="1" applyBorder="1" applyAlignment="1">
      <alignment horizontal="centerContinuous" vertical="center"/>
      <protection/>
    </xf>
    <xf numFmtId="0" fontId="6" fillId="0" borderId="30" xfId="63" applyFont="1" applyFill="1" applyBorder="1" applyAlignment="1">
      <alignment horizontal="centerContinuous" vertical="center"/>
      <protection/>
    </xf>
    <xf numFmtId="0" fontId="9" fillId="0" borderId="24" xfId="63" applyFont="1" applyFill="1" applyBorder="1" applyAlignment="1" applyProtection="1">
      <alignment horizontal="center" vertical="center"/>
      <protection/>
    </xf>
    <xf numFmtId="0" fontId="6" fillId="0" borderId="17" xfId="63" applyFont="1" applyFill="1" applyBorder="1" applyAlignment="1">
      <alignment horizontal="center"/>
      <protection/>
    </xf>
    <xf numFmtId="0" fontId="9" fillId="0" borderId="25" xfId="63" applyFont="1" applyFill="1" applyBorder="1" applyAlignment="1" applyProtection="1">
      <alignment horizontal="right" vertical="center"/>
      <protection/>
    </xf>
    <xf numFmtId="0" fontId="6" fillId="0" borderId="29" xfId="63" applyFont="1" applyFill="1" applyBorder="1" applyAlignment="1" applyProtection="1">
      <alignment horizontal="center"/>
      <protection/>
    </xf>
    <xf numFmtId="0" fontId="6" fillId="0" borderId="0" xfId="63" applyFont="1" applyAlignment="1">
      <alignment horizontal="center"/>
      <protection/>
    </xf>
    <xf numFmtId="0" fontId="6" fillId="0" borderId="15" xfId="0" applyFont="1" applyFill="1" applyBorder="1" applyAlignment="1">
      <alignment horizontal="centerContinuous" vertical="center"/>
    </xf>
    <xf numFmtId="0" fontId="17" fillId="0" borderId="0" xfId="0" applyFont="1" applyAlignment="1">
      <alignment/>
    </xf>
    <xf numFmtId="0" fontId="6" fillId="0" borderId="34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Continuous" vertical="center"/>
    </xf>
    <xf numFmtId="0" fontId="6" fillId="0" borderId="35" xfId="0" applyFont="1" applyFill="1" applyBorder="1" applyAlignment="1">
      <alignment horizontal="centerContinuous" vertical="center"/>
    </xf>
    <xf numFmtId="0" fontId="25" fillId="0" borderId="23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37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justify"/>
      <protection/>
    </xf>
    <xf numFmtId="0" fontId="23" fillId="0" borderId="0" xfId="0" applyFont="1" applyAlignment="1">
      <alignment/>
    </xf>
    <xf numFmtId="0" fontId="6" fillId="0" borderId="39" xfId="0" applyFont="1" applyFill="1" applyBorder="1" applyAlignment="1" applyProtection="1">
      <alignment horizontal="justify"/>
      <protection/>
    </xf>
    <xf numFmtId="0" fontId="0" fillId="0" borderId="0" xfId="0" applyFont="1" applyAlignment="1">
      <alignment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 horizontal="justify" wrapText="1"/>
      <protection/>
    </xf>
    <xf numFmtId="0" fontId="6" fillId="0" borderId="38" xfId="0" applyFont="1" applyFill="1" applyBorder="1" applyAlignment="1" applyProtection="1">
      <alignment wrapText="1"/>
      <protection/>
    </xf>
    <xf numFmtId="0" fontId="9" fillId="0" borderId="40" xfId="0" applyFont="1" applyFill="1" applyBorder="1" applyAlignment="1">
      <alignment horizontal="centerContinuous" vertical="center" wrapText="1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 applyProtection="1">
      <alignment horizontal="right" vertical="center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Continuous" vertical="center" wrapText="1"/>
      <protection/>
    </xf>
    <xf numFmtId="0" fontId="6" fillId="0" borderId="10" xfId="0" applyFont="1" applyFill="1" applyBorder="1" applyAlignment="1" applyProtection="1">
      <alignment horizontal="centerContinuous"/>
      <protection/>
    </xf>
    <xf numFmtId="0" fontId="9" fillId="0" borderId="12" xfId="0" applyFont="1" applyFill="1" applyBorder="1" applyAlignment="1" applyProtection="1">
      <alignment horizontal="centerContinuous" vertical="center"/>
      <protection/>
    </xf>
    <xf numFmtId="0" fontId="6" fillId="0" borderId="12" xfId="0" applyFont="1" applyFill="1" applyBorder="1" applyAlignment="1" applyProtection="1">
      <alignment horizontal="centerContinuous" vertical="center"/>
      <protection/>
    </xf>
    <xf numFmtId="0" fontId="6" fillId="0" borderId="30" xfId="0" applyFont="1" applyFill="1" applyBorder="1" applyAlignment="1" applyProtection="1">
      <alignment horizontal="centerContinuous" vertical="center"/>
      <protection/>
    </xf>
    <xf numFmtId="0" fontId="9" fillId="0" borderId="41" xfId="0" applyFont="1" applyFill="1" applyBorder="1" applyAlignment="1" applyProtection="1">
      <alignment horizontal="centerContinuous" vertical="center" wrapText="1"/>
      <protection/>
    </xf>
    <xf numFmtId="0" fontId="9" fillId="0" borderId="36" xfId="0" applyFont="1" applyFill="1" applyBorder="1" applyAlignment="1" applyProtection="1">
      <alignment horizontal="centerContinuous" vertical="center" wrapText="1"/>
      <protection/>
    </xf>
    <xf numFmtId="0" fontId="9" fillId="0" borderId="18" xfId="0" applyFont="1" applyFill="1" applyBorder="1" applyAlignment="1" applyProtection="1">
      <alignment horizontal="centerContinuous" vertical="center" wrapText="1"/>
      <protection/>
    </xf>
    <xf numFmtId="0" fontId="9" fillId="0" borderId="42" xfId="0" applyFont="1" applyFill="1" applyBorder="1" applyAlignment="1" applyProtection="1">
      <alignment horizontal="centerContinuous" vertical="center" wrapText="1"/>
      <protection/>
    </xf>
    <xf numFmtId="0" fontId="9" fillId="0" borderId="36" xfId="0" applyFont="1" applyFill="1" applyBorder="1" applyAlignment="1">
      <alignment horizontal="centerContinuous" vertical="center" wrapText="1"/>
    </xf>
    <xf numFmtId="0" fontId="9" fillId="0" borderId="42" xfId="0" applyFont="1" applyFill="1" applyBorder="1" applyAlignment="1">
      <alignment horizontal="centerContinuous" vertical="center" wrapText="1"/>
    </xf>
    <xf numFmtId="0" fontId="9" fillId="0" borderId="43" xfId="0" applyFont="1" applyFill="1" applyBorder="1" applyAlignment="1" applyProtection="1">
      <alignment horizontal="centerContinuous" vertical="center" wrapText="1"/>
      <protection/>
    </xf>
    <xf numFmtId="0" fontId="6" fillId="0" borderId="34" xfId="0" applyFont="1" applyFill="1" applyBorder="1" applyAlignment="1" applyProtection="1">
      <alignment horizontal="left"/>
      <protection/>
    </xf>
    <xf numFmtId="0" fontId="15" fillId="0" borderId="44" xfId="0" applyFont="1" applyFill="1" applyBorder="1" applyAlignment="1" applyProtection="1">
      <alignment horizontal="center"/>
      <protection/>
    </xf>
    <xf numFmtId="0" fontId="9" fillId="0" borderId="42" xfId="65" applyFont="1" applyFill="1" applyBorder="1" applyAlignment="1">
      <alignment horizontal="centerContinuous" vertical="center"/>
      <protection/>
    </xf>
    <xf numFmtId="0" fontId="6" fillId="0" borderId="39" xfId="0" applyFont="1" applyFill="1" applyBorder="1" applyAlignment="1" applyProtection="1">
      <alignment horizontal="justify" wrapText="1"/>
      <protection/>
    </xf>
    <xf numFmtId="0" fontId="9" fillId="24" borderId="45" xfId="63" applyFont="1" applyFill="1" applyBorder="1" applyAlignment="1">
      <alignment horizontal="centerContinuous" vertical="center"/>
      <protection/>
    </xf>
    <xf numFmtId="0" fontId="6" fillId="24" borderId="12" xfId="63" applyFont="1" applyFill="1" applyBorder="1" applyAlignment="1">
      <alignment horizontal="centerContinuous" vertical="center"/>
      <protection/>
    </xf>
    <xf numFmtId="0" fontId="6" fillId="24" borderId="30" xfId="63" applyFont="1" applyFill="1" applyBorder="1" applyAlignment="1">
      <alignment horizontal="centerContinuous" vertical="center"/>
      <protection/>
    </xf>
    <xf numFmtId="0" fontId="21" fillId="24" borderId="46" xfId="63" applyFont="1" applyFill="1" applyBorder="1" applyAlignment="1" applyProtection="1">
      <alignment horizontal="centerContinuous" vertical="center" wrapText="1"/>
      <protection/>
    </xf>
    <xf numFmtId="0" fontId="21" fillId="24" borderId="42" xfId="63" applyFont="1" applyFill="1" applyBorder="1" applyAlignment="1">
      <alignment horizontal="centerContinuous" vertical="center"/>
      <protection/>
    </xf>
    <xf numFmtId="0" fontId="21" fillId="24" borderId="42" xfId="64" applyFont="1" applyFill="1" applyBorder="1" applyAlignment="1">
      <alignment horizontal="centerContinuous" vertical="center"/>
      <protection/>
    </xf>
    <xf numFmtId="0" fontId="21" fillId="24" borderId="18" xfId="64" applyFont="1" applyFill="1" applyBorder="1" applyAlignment="1" applyProtection="1">
      <alignment horizontal="centerContinuous" vertical="center"/>
      <protection/>
    </xf>
    <xf numFmtId="0" fontId="20" fillId="24" borderId="47" xfId="63" applyFont="1" applyFill="1" applyBorder="1" applyAlignment="1" applyProtection="1">
      <alignment horizontal="center"/>
      <protection/>
    </xf>
    <xf numFmtId="0" fontId="20" fillId="24" borderId="33" xfId="63" applyFont="1" applyFill="1" applyBorder="1" applyAlignment="1" applyProtection="1">
      <alignment horizontal="center"/>
      <protection/>
    </xf>
    <xf numFmtId="0" fontId="20" fillId="24" borderId="31" xfId="63" applyFont="1" applyFill="1" applyBorder="1" applyAlignment="1" applyProtection="1">
      <alignment horizontal="center"/>
      <protection/>
    </xf>
    <xf numFmtId="0" fontId="20" fillId="24" borderId="47" xfId="64" applyFont="1" applyFill="1" applyBorder="1" applyAlignment="1" applyProtection="1">
      <alignment horizontal="center"/>
      <protection/>
    </xf>
    <xf numFmtId="0" fontId="20" fillId="24" borderId="33" xfId="64" applyFont="1" applyFill="1" applyBorder="1" applyAlignment="1" applyProtection="1">
      <alignment horizontal="center"/>
      <protection/>
    </xf>
    <xf numFmtId="0" fontId="20" fillId="24" borderId="31" xfId="64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left"/>
      <protection/>
    </xf>
    <xf numFmtId="0" fontId="9" fillId="0" borderId="5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9" fillId="0" borderId="0" xfId="66" applyFont="1" applyFill="1" applyBorder="1" applyAlignment="1" applyProtection="1">
      <alignment horizontal="right" vertical="center"/>
      <protection/>
    </xf>
    <xf numFmtId="0" fontId="6" fillId="0" borderId="0" xfId="66" applyFont="1" applyFill="1" applyBorder="1" applyAlignment="1" applyProtection="1">
      <alignment horizontal="center"/>
      <protection/>
    </xf>
    <xf numFmtId="0" fontId="6" fillId="24" borderId="0" xfId="66" applyFont="1" applyFill="1" applyBorder="1">
      <alignment/>
      <protection/>
    </xf>
    <xf numFmtId="0" fontId="17" fillId="0" borderId="51" xfId="0" applyFont="1" applyFill="1" applyBorder="1" applyAlignment="1" applyProtection="1">
      <alignment horizontal="center"/>
      <protection/>
    </xf>
    <xf numFmtId="0" fontId="17" fillId="0" borderId="34" xfId="0" applyFont="1" applyFill="1" applyBorder="1" applyAlignment="1" applyProtection="1">
      <alignment horizontal="center"/>
      <protection/>
    </xf>
    <xf numFmtId="0" fontId="17" fillId="0" borderId="52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textRotation="255"/>
    </xf>
    <xf numFmtId="0" fontId="9" fillId="0" borderId="53" xfId="0" applyFont="1" applyFill="1" applyBorder="1" applyAlignment="1" applyProtection="1">
      <alignment horizontal="right"/>
      <protection/>
    </xf>
    <xf numFmtId="0" fontId="9" fillId="0" borderId="54" xfId="66" applyFont="1" applyFill="1" applyBorder="1" applyAlignment="1" applyProtection="1">
      <alignment horizontal="center" vertical="center"/>
      <protection/>
    </xf>
    <xf numFmtId="0" fontId="9" fillId="0" borderId="54" xfId="66" applyFont="1" applyFill="1" applyBorder="1" applyAlignment="1" applyProtection="1">
      <alignment vertical="center"/>
      <protection/>
    </xf>
    <xf numFmtId="0" fontId="29" fillId="0" borderId="29" xfId="63" applyFont="1" applyFill="1" applyBorder="1" applyAlignment="1" applyProtection="1">
      <alignment horizontal="center"/>
      <protection/>
    </xf>
    <xf numFmtId="0" fontId="29" fillId="0" borderId="0" xfId="0" applyFont="1" applyAlignment="1">
      <alignment horizontal="center"/>
    </xf>
    <xf numFmtId="0" fontId="29" fillId="0" borderId="0" xfId="63" applyFont="1" applyAlignment="1">
      <alignment horizontal="center"/>
      <protection/>
    </xf>
    <xf numFmtId="0" fontId="30" fillId="0" borderId="0" xfId="0" applyFont="1" applyAlignment="1">
      <alignment/>
    </xf>
    <xf numFmtId="0" fontId="17" fillId="0" borderId="55" xfId="0" applyFont="1" applyFill="1" applyBorder="1" applyAlignment="1" applyProtection="1">
      <alignment horizontal="center"/>
      <protection/>
    </xf>
    <xf numFmtId="0" fontId="17" fillId="0" borderId="56" xfId="0" applyFont="1" applyFill="1" applyBorder="1" applyAlignment="1" applyProtection="1">
      <alignment horizontal="center"/>
      <protection/>
    </xf>
    <xf numFmtId="0" fontId="17" fillId="0" borderId="57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wrapText="1"/>
      <protection/>
    </xf>
    <xf numFmtId="0" fontId="6" fillId="0" borderId="49" xfId="0" applyFont="1" applyFill="1" applyBorder="1" applyAlignment="1" applyProtection="1">
      <alignment horizontal="justify" wrapText="1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6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6" fillId="0" borderId="34" xfId="0" applyFont="1" applyBorder="1" applyAlignment="1">
      <alignment/>
    </xf>
    <xf numFmtId="0" fontId="14" fillId="0" borderId="34" xfId="0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wrapText="1"/>
    </xf>
    <xf numFmtId="0" fontId="15" fillId="0" borderId="34" xfId="0" applyFont="1" applyFill="1" applyBorder="1" applyAlignment="1" applyProtection="1">
      <alignment horizontal="center"/>
      <protection/>
    </xf>
    <xf numFmtId="0" fontId="9" fillId="0" borderId="5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wrapText="1"/>
    </xf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 wrapText="1"/>
    </xf>
    <xf numFmtId="0" fontId="6" fillId="0" borderId="59" xfId="0" applyFont="1" applyFill="1" applyBorder="1" applyAlignment="1">
      <alignment horizontal="center"/>
    </xf>
    <xf numFmtId="0" fontId="15" fillId="0" borderId="34" xfId="0" applyFont="1" applyBorder="1" applyAlignment="1">
      <alignment/>
    </xf>
    <xf numFmtId="0" fontId="15" fillId="0" borderId="0" xfId="0" applyFont="1" applyAlignment="1">
      <alignment/>
    </xf>
    <xf numFmtId="0" fontId="14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4" fillId="0" borderId="34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6" fillId="0" borderId="49" xfId="0" applyFont="1" applyFill="1" applyBorder="1" applyAlignment="1" applyProtection="1">
      <alignment horizontal="left"/>
      <protection/>
    </xf>
    <xf numFmtId="0" fontId="6" fillId="0" borderId="60" xfId="0" applyFont="1" applyFill="1" applyBorder="1" applyAlignment="1" applyProtection="1">
      <alignment horizontal="left"/>
      <protection/>
    </xf>
    <xf numFmtId="3" fontId="9" fillId="0" borderId="61" xfId="0" applyNumberFormat="1" applyFont="1" applyBorder="1" applyAlignment="1">
      <alignment horizontal="center"/>
    </xf>
    <xf numFmtId="3" fontId="9" fillId="0" borderId="62" xfId="0" applyNumberFormat="1" applyFont="1" applyBorder="1" applyAlignment="1">
      <alignment horizontal="center"/>
    </xf>
    <xf numFmtId="3" fontId="6" fillId="24" borderId="34" xfId="0" applyNumberFormat="1" applyFont="1" applyFill="1" applyBorder="1" applyAlignment="1">
      <alignment horizontal="center"/>
    </xf>
    <xf numFmtId="3" fontId="6" fillId="24" borderId="52" xfId="0" applyNumberFormat="1" applyFont="1" applyFill="1" applyBorder="1" applyAlignment="1">
      <alignment horizontal="center"/>
    </xf>
    <xf numFmtId="0" fontId="9" fillId="0" borderId="58" xfId="0" applyFont="1" applyFill="1" applyBorder="1" applyAlignment="1" applyProtection="1">
      <alignment horizontal="center"/>
      <protection/>
    </xf>
    <xf numFmtId="0" fontId="9" fillId="0" borderId="44" xfId="0" applyFont="1" applyFill="1" applyBorder="1" applyAlignment="1" applyProtection="1">
      <alignment horizontal="center"/>
      <protection/>
    </xf>
    <xf numFmtId="0" fontId="9" fillId="0" borderId="63" xfId="0" applyFont="1" applyFill="1" applyBorder="1" applyAlignment="1" applyProtection="1">
      <alignment horizontal="center"/>
      <protection/>
    </xf>
    <xf numFmtId="3" fontId="6" fillId="0" borderId="64" xfId="0" applyNumberFormat="1" applyFont="1" applyFill="1" applyBorder="1" applyAlignment="1" applyProtection="1">
      <alignment/>
      <protection locked="0"/>
    </xf>
    <xf numFmtId="3" fontId="6" fillId="0" borderId="65" xfId="0" applyNumberFormat="1" applyFont="1" applyFill="1" applyBorder="1" applyAlignment="1" applyProtection="1">
      <alignment/>
      <protection locked="0"/>
    </xf>
    <xf numFmtId="4" fontId="6" fillId="0" borderId="64" xfId="0" applyNumberFormat="1" applyFont="1" applyFill="1" applyBorder="1" applyAlignment="1" applyProtection="1">
      <alignment/>
      <protection locked="0"/>
    </xf>
    <xf numFmtId="3" fontId="6" fillId="0" borderId="66" xfId="0" applyNumberFormat="1" applyFont="1" applyFill="1" applyBorder="1" applyAlignment="1" applyProtection="1">
      <alignment/>
      <protection locked="0"/>
    </xf>
    <xf numFmtId="3" fontId="6" fillId="0" borderId="67" xfId="0" applyNumberFormat="1" applyFont="1" applyFill="1" applyBorder="1" applyAlignment="1" applyProtection="1">
      <alignment/>
      <protection locked="0"/>
    </xf>
    <xf numFmtId="3" fontId="6" fillId="0" borderId="68" xfId="0" applyNumberFormat="1" applyFont="1" applyFill="1" applyBorder="1" applyAlignment="1" applyProtection="1">
      <alignment/>
      <protection locked="0"/>
    </xf>
    <xf numFmtId="3" fontId="6" fillId="0" borderId="68" xfId="0" applyNumberFormat="1" applyFont="1" applyBorder="1" applyAlignment="1" applyProtection="1">
      <alignment/>
      <protection locked="0"/>
    </xf>
    <xf numFmtId="3" fontId="17" fillId="0" borderId="69" xfId="0" applyNumberFormat="1" applyFont="1" applyFill="1" applyBorder="1" applyAlignment="1" applyProtection="1">
      <alignment/>
      <protection locked="0"/>
    </xf>
    <xf numFmtId="3" fontId="17" fillId="0" borderId="70" xfId="0" applyNumberFormat="1" applyFont="1" applyFill="1" applyBorder="1" applyAlignment="1" applyProtection="1">
      <alignment/>
      <protection locked="0"/>
    </xf>
    <xf numFmtId="3" fontId="17" fillId="0" borderId="71" xfId="0" applyNumberFormat="1" applyFont="1" applyFill="1" applyBorder="1" applyAlignment="1" applyProtection="1">
      <alignment/>
      <protection locked="0"/>
    </xf>
    <xf numFmtId="3" fontId="17" fillId="0" borderId="72" xfId="0" applyNumberFormat="1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 horizontal="justify"/>
      <protection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Fill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 applyProtection="1">
      <alignment horizontal="center"/>
      <protection/>
    </xf>
    <xf numFmtId="3" fontId="6" fillId="0" borderId="21" xfId="63" applyNumberFormat="1" applyFont="1" applyFill="1" applyBorder="1" applyProtection="1">
      <alignment/>
      <protection locked="0"/>
    </xf>
    <xf numFmtId="3" fontId="6" fillId="0" borderId="79" xfId="63" applyNumberFormat="1" applyFont="1" applyFill="1" applyBorder="1" applyProtection="1">
      <alignment/>
      <protection locked="0"/>
    </xf>
    <xf numFmtId="3" fontId="6" fillId="0" borderId="64" xfId="63" applyNumberFormat="1" applyFont="1" applyFill="1" applyBorder="1" applyProtection="1">
      <alignment/>
      <protection locked="0"/>
    </xf>
    <xf numFmtId="3" fontId="6" fillId="0" borderId="21" xfId="64" applyNumberFormat="1" applyFont="1" applyFill="1" applyBorder="1" applyProtection="1">
      <alignment/>
      <protection locked="0"/>
    </xf>
    <xf numFmtId="3" fontId="6" fillId="0" borderId="79" xfId="64" applyNumberFormat="1" applyFont="1" applyFill="1" applyBorder="1" applyProtection="1">
      <alignment/>
      <protection locked="0"/>
    </xf>
    <xf numFmtId="3" fontId="6" fillId="0" borderId="64" xfId="64" applyNumberFormat="1" applyFont="1" applyFill="1" applyBorder="1" applyProtection="1">
      <alignment/>
      <protection locked="0"/>
    </xf>
    <xf numFmtId="0" fontId="6" fillId="0" borderId="80" xfId="0" applyFont="1" applyFill="1" applyBorder="1" applyAlignment="1" applyProtection="1">
      <alignment horizontal="center"/>
      <protection/>
    </xf>
    <xf numFmtId="3" fontId="6" fillId="0" borderId="48" xfId="63" applyNumberFormat="1" applyFont="1" applyFill="1" applyBorder="1" applyProtection="1">
      <alignment/>
      <protection locked="0"/>
    </xf>
    <xf numFmtId="3" fontId="6" fillId="0" borderId="81" xfId="63" applyNumberFormat="1" applyFont="1" applyFill="1" applyBorder="1" applyProtection="1">
      <alignment/>
      <protection locked="0"/>
    </xf>
    <xf numFmtId="3" fontId="6" fillId="0" borderId="82" xfId="63" applyNumberFormat="1" applyFont="1" applyFill="1" applyBorder="1" applyProtection="1">
      <alignment/>
      <protection locked="0"/>
    </xf>
    <xf numFmtId="3" fontId="6" fillId="0" borderId="64" xfId="65" applyNumberFormat="1" applyFont="1" applyFill="1" applyBorder="1" applyProtection="1">
      <alignment/>
      <protection locked="0"/>
    </xf>
    <xf numFmtId="3" fontId="6" fillId="0" borderId="48" xfId="65" applyNumberFormat="1" applyFont="1" applyFill="1" applyBorder="1" applyProtection="1">
      <alignment/>
      <protection locked="0"/>
    </xf>
    <xf numFmtId="3" fontId="6" fillId="0" borderId="79" xfId="65" applyNumberFormat="1" applyFont="1" applyFill="1" applyBorder="1" applyProtection="1">
      <alignment/>
      <protection locked="0"/>
    </xf>
    <xf numFmtId="3" fontId="6" fillId="0" borderId="58" xfId="65" applyNumberFormat="1" applyFont="1" applyFill="1" applyBorder="1" applyProtection="1">
      <alignment/>
      <protection locked="0"/>
    </xf>
    <xf numFmtId="3" fontId="6" fillId="0" borderId="81" xfId="65" applyNumberFormat="1" applyFont="1" applyFill="1" applyBorder="1" applyProtection="1">
      <alignment/>
      <protection locked="0"/>
    </xf>
    <xf numFmtId="3" fontId="6" fillId="0" borderId="20" xfId="65" applyNumberFormat="1" applyFont="1" applyFill="1" applyBorder="1" applyProtection="1">
      <alignment/>
      <protection locked="0"/>
    </xf>
    <xf numFmtId="3" fontId="6" fillId="0" borderId="83" xfId="65" applyNumberFormat="1" applyFont="1" applyFill="1" applyBorder="1" applyProtection="1">
      <alignment/>
      <protection locked="0"/>
    </xf>
    <xf numFmtId="0" fontId="20" fillId="0" borderId="31" xfId="0" applyFont="1" applyFill="1" applyBorder="1" applyAlignment="1" applyProtection="1">
      <alignment horizontal="center"/>
      <protection/>
    </xf>
    <xf numFmtId="0" fontId="20" fillId="0" borderId="32" xfId="0" applyFont="1" applyFill="1" applyBorder="1" applyAlignment="1" applyProtection="1">
      <alignment horizontal="center"/>
      <protection/>
    </xf>
    <xf numFmtId="0" fontId="36" fillId="0" borderId="31" xfId="0" applyFont="1" applyFill="1" applyBorder="1" applyAlignment="1">
      <alignment/>
    </xf>
    <xf numFmtId="0" fontId="23" fillId="0" borderId="84" xfId="0" applyFont="1" applyFill="1" applyBorder="1" applyAlignment="1" applyProtection="1">
      <alignment horizontal="center" textRotation="255" wrapText="1"/>
      <protection/>
    </xf>
    <xf numFmtId="0" fontId="23" fillId="0" borderId="85" xfId="0" applyFont="1" applyFill="1" applyBorder="1" applyAlignment="1" applyProtection="1">
      <alignment horizontal="center" textRotation="255" wrapText="1"/>
      <protection/>
    </xf>
    <xf numFmtId="0" fontId="23" fillId="0" borderId="85" xfId="0" applyFont="1" applyFill="1" applyBorder="1" applyAlignment="1" applyProtection="1" quotePrefix="1">
      <alignment horizontal="center" textRotation="255" wrapText="1"/>
      <protection/>
    </xf>
    <xf numFmtId="3" fontId="6" fillId="0" borderId="81" xfId="0" applyNumberFormat="1" applyFont="1" applyBorder="1" applyAlignment="1" applyProtection="1">
      <alignment/>
      <protection locked="0"/>
    </xf>
    <xf numFmtId="3" fontId="6" fillId="0" borderId="81" xfId="0" applyNumberFormat="1" applyFont="1" applyFill="1" applyBorder="1" applyAlignment="1" applyProtection="1">
      <alignment/>
      <protection locked="0"/>
    </xf>
    <xf numFmtId="3" fontId="6" fillId="0" borderId="51" xfId="0" applyNumberFormat="1" applyFont="1" applyFill="1" applyBorder="1" applyAlignment="1" applyProtection="1">
      <alignment/>
      <protection locked="0"/>
    </xf>
    <xf numFmtId="3" fontId="6" fillId="0" borderId="48" xfId="0" applyNumberFormat="1" applyFont="1" applyFill="1" applyBorder="1" applyAlignment="1" applyProtection="1">
      <alignment/>
      <protection locked="0"/>
    </xf>
    <xf numFmtId="3" fontId="6" fillId="0" borderId="82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Fill="1" applyBorder="1" applyAlignment="1" applyProtection="1">
      <alignment/>
      <protection locked="0"/>
    </xf>
    <xf numFmtId="3" fontId="6" fillId="0" borderId="59" xfId="0" applyNumberFormat="1" applyFont="1" applyFill="1" applyBorder="1" applyAlignment="1" applyProtection="1">
      <alignment/>
      <protection locked="0"/>
    </xf>
    <xf numFmtId="3" fontId="6" fillId="0" borderId="78" xfId="0" applyNumberFormat="1" applyFont="1" applyFill="1" applyBorder="1" applyAlignment="1" applyProtection="1">
      <alignment/>
      <protection locked="0"/>
    </xf>
    <xf numFmtId="3" fontId="6" fillId="0" borderId="86" xfId="0" applyNumberFormat="1" applyFont="1" applyFill="1" applyBorder="1" applyAlignment="1" applyProtection="1">
      <alignment/>
      <protection locked="0"/>
    </xf>
    <xf numFmtId="3" fontId="6" fillId="0" borderId="56" xfId="0" applyNumberFormat="1" applyFont="1" applyFill="1" applyBorder="1" applyAlignment="1" applyProtection="1">
      <alignment/>
      <protection locked="0"/>
    </xf>
    <xf numFmtId="3" fontId="6" fillId="0" borderId="64" xfId="66" applyNumberFormat="1" applyFont="1" applyFill="1" applyBorder="1" applyProtection="1">
      <alignment/>
      <protection locked="0"/>
    </xf>
    <xf numFmtId="3" fontId="6" fillId="0" borderId="48" xfId="66" applyNumberFormat="1" applyFont="1" applyFill="1" applyBorder="1" applyProtection="1">
      <alignment/>
      <protection locked="0"/>
    </xf>
    <xf numFmtId="3" fontId="6" fillId="0" borderId="79" xfId="66" applyNumberFormat="1" applyFont="1" applyFill="1" applyBorder="1" applyProtection="1">
      <alignment/>
      <protection locked="0"/>
    </xf>
    <xf numFmtId="3" fontId="6" fillId="0" borderId="58" xfId="66" applyNumberFormat="1" applyFont="1" applyFill="1" applyBorder="1" applyProtection="1">
      <alignment/>
      <protection locked="0"/>
    </xf>
    <xf numFmtId="3" fontId="6" fillId="0" borderId="81" xfId="66" applyNumberFormat="1" applyFont="1" applyFill="1" applyBorder="1" applyProtection="1">
      <alignment/>
      <protection locked="0"/>
    </xf>
    <xf numFmtId="3" fontId="6" fillId="0" borderId="80" xfId="66" applyNumberFormat="1" applyFont="1" applyFill="1" applyBorder="1" applyProtection="1">
      <alignment/>
      <protection locked="0"/>
    </xf>
    <xf numFmtId="0" fontId="9" fillId="0" borderId="11" xfId="67" applyFont="1" applyFill="1" applyBorder="1" applyAlignment="1">
      <alignment horizontal="center"/>
      <protection/>
    </xf>
    <xf numFmtId="0" fontId="9" fillId="0" borderId="41" xfId="0" applyFont="1" applyFill="1" applyBorder="1" applyAlignment="1">
      <alignment horizontal="centerContinuous" vertical="center" wrapText="1"/>
    </xf>
    <xf numFmtId="0" fontId="20" fillId="0" borderId="31" xfId="0" applyFont="1" applyFill="1" applyBorder="1" applyAlignment="1" applyProtection="1">
      <alignment horizontal="center"/>
      <protection/>
    </xf>
    <xf numFmtId="0" fontId="20" fillId="0" borderId="32" xfId="0" applyFont="1" applyFill="1" applyBorder="1" applyAlignment="1" applyProtection="1">
      <alignment horizontal="center"/>
      <protection/>
    </xf>
    <xf numFmtId="0" fontId="20" fillId="0" borderId="33" xfId="0" applyFont="1" applyFill="1" applyBorder="1" applyAlignment="1" applyProtection="1">
      <alignment horizontal="center"/>
      <protection/>
    </xf>
    <xf numFmtId="0" fontId="20" fillId="0" borderId="87" xfId="0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5" xfId="0" applyFont="1" applyBorder="1" applyAlignment="1">
      <alignment/>
    </xf>
    <xf numFmtId="3" fontId="6" fillId="0" borderId="88" xfId="68" applyNumberFormat="1" applyFont="1" applyFill="1" applyBorder="1" applyProtection="1">
      <alignment/>
      <protection locked="0"/>
    </xf>
    <xf numFmtId="3" fontId="6" fillId="0" borderId="80" xfId="68" applyNumberFormat="1" applyFont="1" applyFill="1" applyBorder="1" applyProtection="1">
      <alignment/>
      <protection locked="0"/>
    </xf>
    <xf numFmtId="3" fontId="6" fillId="0" borderId="82" xfId="68" applyNumberFormat="1" applyFont="1" applyFill="1" applyBorder="1" applyProtection="1">
      <alignment/>
      <protection locked="0"/>
    </xf>
    <xf numFmtId="3" fontId="6" fillId="0" borderId="78" xfId="68" applyNumberFormat="1" applyFont="1" applyFill="1" applyBorder="1" applyProtection="1">
      <alignment/>
      <protection locked="0"/>
    </xf>
    <xf numFmtId="0" fontId="19" fillId="0" borderId="89" xfId="68" applyFont="1" applyFill="1" applyBorder="1" applyAlignment="1" applyProtection="1">
      <alignment horizontal="centerContinuous" vertical="center"/>
      <protection/>
    </xf>
    <xf numFmtId="0" fontId="14" fillId="0" borderId="90" xfId="66" applyFont="1" applyFill="1" applyBorder="1" applyAlignment="1" applyProtection="1">
      <alignment horizontal="center" vertical="center"/>
      <protection/>
    </xf>
    <xf numFmtId="0" fontId="14" fillId="0" borderId="90" xfId="65" applyFont="1" applyFill="1" applyBorder="1" applyAlignment="1" applyProtection="1">
      <alignment horizontal="center" vertical="center"/>
      <protection/>
    </xf>
    <xf numFmtId="0" fontId="14" fillId="0" borderId="90" xfId="64" applyFont="1" applyFill="1" applyBorder="1" applyAlignment="1" applyProtection="1">
      <alignment horizontal="center" vertical="center"/>
      <protection/>
    </xf>
    <xf numFmtId="0" fontId="14" fillId="0" borderId="90" xfId="63" applyFont="1" applyFill="1" applyBorder="1" applyAlignment="1" applyProtection="1">
      <alignment horizontal="center" vertical="center"/>
      <protection/>
    </xf>
    <xf numFmtId="0" fontId="14" fillId="0" borderId="24" xfId="63" applyFont="1" applyFill="1" applyBorder="1" applyAlignment="1" applyProtection="1">
      <alignment horizontal="center" vertical="center"/>
      <protection/>
    </xf>
    <xf numFmtId="0" fontId="15" fillId="0" borderId="17" xfId="63" applyFont="1" applyFill="1" applyBorder="1" applyAlignment="1">
      <alignment horizontal="center"/>
      <protection/>
    </xf>
    <xf numFmtId="0" fontId="15" fillId="0" borderId="91" xfId="0" applyFont="1" applyFill="1" applyBorder="1" applyAlignment="1" applyProtection="1">
      <alignment horizontal="center"/>
      <protection/>
    </xf>
    <xf numFmtId="0" fontId="15" fillId="0" borderId="92" xfId="0" applyFont="1" applyFill="1" applyBorder="1" applyAlignment="1" applyProtection="1">
      <alignment horizontal="center"/>
      <protection/>
    </xf>
    <xf numFmtId="0" fontId="20" fillId="0" borderId="93" xfId="68" applyFont="1" applyFill="1" applyBorder="1" applyAlignment="1" applyProtection="1">
      <alignment horizontal="center"/>
      <protection/>
    </xf>
    <xf numFmtId="0" fontId="20" fillId="0" borderId="26" xfId="68" applyFont="1" applyFill="1" applyBorder="1" applyAlignment="1" applyProtection="1">
      <alignment horizontal="center"/>
      <protection/>
    </xf>
    <xf numFmtId="0" fontId="20" fillId="0" borderId="0" xfId="68" applyFont="1">
      <alignment/>
      <protection/>
    </xf>
    <xf numFmtId="0" fontId="20" fillId="0" borderId="17" xfId="0" applyFont="1" applyFill="1" applyBorder="1" applyAlignment="1">
      <alignment horizontal="center"/>
    </xf>
    <xf numFmtId="0" fontId="27" fillId="0" borderId="31" xfId="0" applyFont="1" applyFill="1" applyBorder="1" applyAlignment="1" applyProtection="1">
      <alignment horizontal="center"/>
      <protection/>
    </xf>
    <xf numFmtId="0" fontId="27" fillId="0" borderId="94" xfId="0" applyFont="1" applyFill="1" applyBorder="1" applyAlignment="1" applyProtection="1">
      <alignment horizontal="center"/>
      <protection/>
    </xf>
    <xf numFmtId="0" fontId="9" fillId="0" borderId="95" xfId="0" applyFont="1" applyFill="1" applyBorder="1" applyAlignment="1">
      <alignment horizontal="center"/>
    </xf>
    <xf numFmtId="0" fontId="9" fillId="0" borderId="96" xfId="0" applyFont="1" applyFill="1" applyBorder="1" applyAlignment="1" applyProtection="1">
      <alignment horizontal="center" vertical="center"/>
      <protection/>
    </xf>
    <xf numFmtId="0" fontId="9" fillId="0" borderId="97" xfId="0" applyFont="1" applyFill="1" applyBorder="1" applyAlignment="1" applyProtection="1">
      <alignment horizontal="centerContinuous" vertical="center" wrapText="1"/>
      <protection/>
    </xf>
    <xf numFmtId="3" fontId="0" fillId="0" borderId="71" xfId="0" applyNumberFormat="1" applyFill="1" applyBorder="1" applyAlignment="1" applyProtection="1">
      <alignment/>
      <protection locked="0"/>
    </xf>
    <xf numFmtId="3" fontId="0" fillId="0" borderId="71" xfId="0" applyNumberFormat="1" applyBorder="1" applyAlignment="1" applyProtection="1">
      <alignment/>
      <protection locked="0"/>
    </xf>
    <xf numFmtId="0" fontId="5" fillId="0" borderId="98" xfId="68" applyFont="1" applyBorder="1" applyAlignment="1" applyProtection="1">
      <alignment horizontal="left" vertical="top"/>
      <protection/>
    </xf>
    <xf numFmtId="0" fontId="9" fillId="0" borderId="53" xfId="63" applyFont="1" applyBorder="1" applyAlignment="1">
      <alignment horizontal="right"/>
      <protection/>
    </xf>
    <xf numFmtId="0" fontId="9" fillId="0" borderId="76" xfId="0" applyFont="1" applyFill="1" applyBorder="1" applyAlignment="1" applyProtection="1">
      <alignment horizontal="right" vertical="center"/>
      <protection/>
    </xf>
    <xf numFmtId="0" fontId="9" fillId="0" borderId="69" xfId="0" applyFont="1" applyFill="1" applyBorder="1" applyAlignment="1">
      <alignment horizontal="centerContinuous" vertical="center"/>
    </xf>
    <xf numFmtId="0" fontId="20" fillId="0" borderId="33" xfId="0" applyFont="1" applyFill="1" applyBorder="1" applyAlignment="1" applyProtection="1">
      <alignment horizontal="center"/>
      <protection/>
    </xf>
    <xf numFmtId="0" fontId="6" fillId="0" borderId="11" xfId="68" applyFont="1" applyBorder="1" applyAlignment="1">
      <alignment horizontal="center"/>
      <protection/>
    </xf>
    <xf numFmtId="0" fontId="9" fillId="0" borderId="15" xfId="68" applyFont="1" applyBorder="1" applyAlignment="1">
      <alignment horizontal="centerContinuous" vertical="center"/>
      <protection/>
    </xf>
    <xf numFmtId="0" fontId="9" fillId="0" borderId="35" xfId="68" applyFont="1" applyBorder="1" applyAlignment="1">
      <alignment horizontal="centerContinuous" vertical="center"/>
      <protection/>
    </xf>
    <xf numFmtId="0" fontId="9" fillId="0" borderId="15" xfId="63" applyFont="1" applyFill="1" applyBorder="1" applyAlignment="1">
      <alignment horizontal="centerContinuous" vertical="center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6" fillId="0" borderId="98" xfId="0" applyFont="1" applyFill="1" applyBorder="1" applyAlignment="1">
      <alignment horizontal="centerContinuous"/>
    </xf>
    <xf numFmtId="0" fontId="8" fillId="0" borderId="95" xfId="0" applyFont="1" applyFill="1" applyBorder="1" applyAlignment="1" applyProtection="1">
      <alignment horizontal="centerContinuous" vertical="center" wrapText="1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8" fillId="0" borderId="90" xfId="0" applyFont="1" applyFill="1" applyBorder="1" applyAlignment="1" applyProtection="1">
      <alignment horizontal="centerContinuous" vertical="center" wrapText="1"/>
      <protection/>
    </xf>
    <xf numFmtId="0" fontId="9" fillId="0" borderId="42" xfId="0" applyFont="1" applyFill="1" applyBorder="1" applyAlignment="1">
      <alignment horizontal="centerContinuous" vertical="center"/>
    </xf>
    <xf numFmtId="0" fontId="8" fillId="0" borderId="99" xfId="0" applyFont="1" applyFill="1" applyBorder="1" applyAlignment="1">
      <alignment horizontal="center" vertical="center"/>
    </xf>
    <xf numFmtId="0" fontId="9" fillId="0" borderId="94" xfId="0" applyFont="1" applyFill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5" fillId="0" borderId="0" xfId="0" applyFont="1" applyAlignment="1">
      <alignment horizontal="right" vertical="top"/>
    </xf>
    <xf numFmtId="0" fontId="9" fillId="0" borderId="15" xfId="0" applyFont="1" applyFill="1" applyBorder="1" applyAlignment="1" applyProtection="1">
      <alignment horizontal="centerContinuous" vertical="center"/>
      <protection/>
    </xf>
    <xf numFmtId="0" fontId="22" fillId="0" borderId="0" xfId="0" applyFont="1" applyAlignment="1">
      <alignment horizontal="center"/>
    </xf>
    <xf numFmtId="0" fontId="10" fillId="0" borderId="0" xfId="0" applyFont="1" applyBorder="1" applyAlignment="1" applyProtection="1">
      <alignment vertical="top" wrapText="1"/>
      <protection/>
    </xf>
    <xf numFmtId="0" fontId="25" fillId="0" borderId="0" xfId="0" applyFont="1" applyBorder="1" applyAlignment="1">
      <alignment vertical="center" wrapText="1"/>
    </xf>
    <xf numFmtId="0" fontId="28" fillId="0" borderId="0" xfId="0" applyFont="1" applyAlignment="1">
      <alignment/>
    </xf>
    <xf numFmtId="0" fontId="6" fillId="0" borderId="34" xfId="0" applyFont="1" applyFill="1" applyBorder="1" applyAlignment="1" applyProtection="1">
      <alignment horizontal="center"/>
      <protection/>
    </xf>
    <xf numFmtId="0" fontId="22" fillId="0" borderId="0" xfId="0" applyFont="1" applyAlignment="1">
      <alignment horizontal="left"/>
    </xf>
    <xf numFmtId="38" fontId="6" fillId="0" borderId="51" xfId="47" applyNumberFormat="1" applyFont="1" applyBorder="1" applyAlignment="1">
      <alignment/>
    </xf>
    <xf numFmtId="38" fontId="6" fillId="0" borderId="34" xfId="47" applyNumberFormat="1" applyFont="1" applyBorder="1" applyAlignment="1">
      <alignment/>
    </xf>
    <xf numFmtId="38" fontId="6" fillId="0" borderId="44" xfId="47" applyNumberFormat="1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51" xfId="0" applyFont="1" applyFill="1" applyBorder="1" applyAlignment="1" applyProtection="1">
      <alignment horizontal="center"/>
      <protection/>
    </xf>
    <xf numFmtId="3" fontId="6" fillId="0" borderId="64" xfId="0" applyNumberFormat="1" applyFont="1" applyFill="1" applyBorder="1" applyAlignment="1" applyProtection="1">
      <alignment/>
      <protection locked="0"/>
    </xf>
    <xf numFmtId="3" fontId="6" fillId="24" borderId="64" xfId="0" applyNumberFormat="1" applyFont="1" applyFill="1" applyBorder="1" applyAlignment="1" applyProtection="1">
      <alignment/>
      <protection locked="0"/>
    </xf>
    <xf numFmtId="3" fontId="6" fillId="24" borderId="48" xfId="0" applyNumberFormat="1" applyFont="1" applyFill="1" applyBorder="1" applyAlignment="1" applyProtection="1">
      <alignment/>
      <protection locked="0"/>
    </xf>
    <xf numFmtId="3" fontId="6" fillId="24" borderId="78" xfId="0" applyNumberFormat="1" applyFont="1" applyFill="1" applyBorder="1" applyAlignment="1" applyProtection="1">
      <alignment/>
      <protection locked="0"/>
    </xf>
    <xf numFmtId="0" fontId="37" fillId="0" borderId="98" xfId="0" applyFont="1" applyBorder="1" applyAlignment="1">
      <alignment horizontal="right" vertical="center" wrapText="1"/>
    </xf>
    <xf numFmtId="3" fontId="6" fillId="0" borderId="19" xfId="67" applyNumberFormat="1" applyFont="1" applyFill="1" applyBorder="1" applyAlignment="1" applyProtection="1">
      <alignment/>
      <protection locked="0"/>
    </xf>
    <xf numFmtId="3" fontId="6" fillId="0" borderId="100" xfId="67" applyNumberFormat="1" applyFont="1" applyFill="1" applyBorder="1" applyAlignment="1" applyProtection="1">
      <alignment/>
      <protection locked="0"/>
    </xf>
    <xf numFmtId="3" fontId="6" fillId="0" borderId="80" xfId="67" applyNumberFormat="1" applyFont="1" applyFill="1" applyBorder="1" applyAlignment="1" applyProtection="1">
      <alignment/>
      <protection locked="0"/>
    </xf>
    <xf numFmtId="3" fontId="6" fillId="0" borderId="101" xfId="67" applyNumberFormat="1" applyFont="1" applyFill="1" applyBorder="1" applyAlignment="1" applyProtection="1">
      <alignment/>
      <protection locked="0"/>
    </xf>
    <xf numFmtId="3" fontId="6" fillId="0" borderId="20" xfId="67" applyNumberFormat="1" applyFont="1" applyFill="1" applyBorder="1" applyAlignment="1" applyProtection="1">
      <alignment/>
      <protection locked="0"/>
    </xf>
    <xf numFmtId="3" fontId="6" fillId="0" borderId="64" xfId="67" applyNumberFormat="1" applyFont="1" applyFill="1" applyBorder="1" applyAlignment="1" applyProtection="1">
      <alignment/>
      <protection locked="0"/>
    </xf>
    <xf numFmtId="3" fontId="6" fillId="0" borderId="58" xfId="67" applyNumberFormat="1" applyFont="1" applyFill="1" applyBorder="1" applyAlignment="1" applyProtection="1">
      <alignment/>
      <protection locked="0"/>
    </xf>
    <xf numFmtId="3" fontId="6" fillId="0" borderId="48" xfId="67" applyNumberFormat="1" applyFont="1" applyFill="1" applyBorder="1" applyAlignment="1" applyProtection="1">
      <alignment/>
      <protection locked="0"/>
    </xf>
    <xf numFmtId="3" fontId="6" fillId="0" borderId="81" xfId="67" applyNumberFormat="1" applyFont="1" applyFill="1" applyBorder="1" applyAlignment="1" applyProtection="1">
      <alignment/>
      <protection locked="0"/>
    </xf>
    <xf numFmtId="3" fontId="6" fillId="0" borderId="83" xfId="67" applyNumberFormat="1" applyFont="1" applyFill="1" applyBorder="1" applyAlignment="1" applyProtection="1">
      <alignment/>
      <protection locked="0"/>
    </xf>
    <xf numFmtId="3" fontId="6" fillId="24" borderId="34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40" fontId="6" fillId="0" borderId="34" xfId="47" applyFont="1" applyBorder="1" applyAlignment="1">
      <alignment/>
    </xf>
    <xf numFmtId="38" fontId="6" fillId="0" borderId="34" xfId="47" applyNumberFormat="1" applyFont="1" applyBorder="1" applyAlignment="1">
      <alignment/>
    </xf>
    <xf numFmtId="4" fontId="6" fillId="0" borderId="34" xfId="0" applyNumberFormat="1" applyFont="1" applyBorder="1" applyAlignment="1">
      <alignment/>
    </xf>
    <xf numFmtId="10" fontId="6" fillId="0" borderId="34" xfId="71" applyNumberFormat="1" applyFont="1" applyBorder="1" applyAlignment="1">
      <alignment/>
    </xf>
    <xf numFmtId="0" fontId="6" fillId="0" borderId="10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 horizontal="left" vertical="top" wrapText="1"/>
      <protection/>
    </xf>
    <xf numFmtId="173" fontId="39" fillId="0" borderId="0" xfId="61" applyAlignment="1">
      <alignment vertical="center"/>
      <protection/>
    </xf>
    <xf numFmtId="173" fontId="40" fillId="0" borderId="0" xfId="61" applyFont="1" applyAlignment="1">
      <alignment vertical="center"/>
      <protection/>
    </xf>
    <xf numFmtId="173" fontId="39" fillId="0" borderId="0" xfId="61" applyFill="1" applyAlignment="1">
      <alignment vertical="center"/>
      <protection/>
    </xf>
    <xf numFmtId="173" fontId="17" fillId="0" borderId="0" xfId="61" applyFont="1" applyAlignment="1" applyProtection="1">
      <alignment horizontal="left" vertical="center"/>
      <protection/>
    </xf>
    <xf numFmtId="173" fontId="6" fillId="0" borderId="0" xfId="61" applyFont="1" applyAlignment="1" applyProtection="1">
      <alignment horizontal="left" vertical="top"/>
      <protection/>
    </xf>
    <xf numFmtId="173" fontId="44" fillId="0" borderId="0" xfId="61" applyFont="1" applyAlignment="1">
      <alignment vertical="top"/>
      <protection/>
    </xf>
    <xf numFmtId="173" fontId="44" fillId="0" borderId="0" xfId="61" applyFont="1" applyAlignment="1">
      <alignment vertical="center"/>
      <protection/>
    </xf>
    <xf numFmtId="173" fontId="39" fillId="0" borderId="0" xfId="62" applyNumberFormat="1" applyFont="1" applyAlignment="1">
      <alignment vertical="center"/>
      <protection/>
    </xf>
    <xf numFmtId="173" fontId="46" fillId="0" borderId="0" xfId="61" applyFont="1" applyAlignment="1">
      <alignment vertical="center"/>
      <protection/>
    </xf>
    <xf numFmtId="173" fontId="13" fillId="0" borderId="0" xfId="61" applyFont="1" applyAlignment="1" applyProtection="1">
      <alignment horizontal="left" vertical="center"/>
      <protection/>
    </xf>
    <xf numFmtId="0" fontId="15" fillId="0" borderId="80" xfId="0" applyFont="1" applyFill="1" applyBorder="1" applyAlignment="1" applyProtection="1">
      <alignment horizontal="center"/>
      <protection/>
    </xf>
    <xf numFmtId="0" fontId="15" fillId="0" borderId="48" xfId="0" applyFont="1" applyFill="1" applyBorder="1" applyAlignment="1" applyProtection="1">
      <alignment horizontal="center"/>
      <protection/>
    </xf>
    <xf numFmtId="0" fontId="15" fillId="0" borderId="48" xfId="0" applyFont="1" applyFill="1" applyBorder="1" applyAlignment="1" applyProtection="1" quotePrefix="1">
      <alignment horizontal="center"/>
      <protection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4" fontId="48" fillId="0" borderId="34" xfId="0" applyNumberFormat="1" applyFont="1" applyBorder="1" applyAlignment="1">
      <alignment horizontal="center"/>
    </xf>
    <xf numFmtId="3" fontId="9" fillId="0" borderId="34" xfId="0" applyNumberFormat="1" applyFont="1" applyFill="1" applyBorder="1" applyAlignment="1">
      <alignment/>
    </xf>
    <xf numFmtId="0" fontId="9" fillId="0" borderId="34" xfId="0" applyFont="1" applyFill="1" applyBorder="1" applyAlignment="1">
      <alignment horizontal="center"/>
    </xf>
    <xf numFmtId="0" fontId="5" fillId="0" borderId="0" xfId="0" applyFont="1" applyAlignment="1" applyProtection="1">
      <alignment horizontal="right" vertical="top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2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6" fillId="0" borderId="37" xfId="0" applyFont="1" applyFill="1" applyBorder="1" applyAlignment="1">
      <alignment horizontal="centerContinuous"/>
    </xf>
    <xf numFmtId="0" fontId="6" fillId="0" borderId="103" xfId="0" applyFont="1" applyFill="1" applyBorder="1" applyAlignment="1">
      <alignment horizontal="center"/>
    </xf>
    <xf numFmtId="173" fontId="17" fillId="0" borderId="0" xfId="61" applyFont="1" applyAlignment="1" applyProtection="1">
      <alignment vertical="center"/>
      <protection/>
    </xf>
    <xf numFmtId="173" fontId="41" fillId="0" borderId="0" xfId="61" applyFont="1" applyAlignment="1" applyProtection="1">
      <alignment vertical="center"/>
      <protection/>
    </xf>
    <xf numFmtId="173" fontId="39" fillId="0" borderId="0" xfId="61" applyAlignment="1" applyProtection="1">
      <alignment vertical="center"/>
      <protection/>
    </xf>
    <xf numFmtId="173" fontId="17" fillId="0" borderId="0" xfId="61" applyFont="1" applyFill="1" applyBorder="1" applyAlignment="1" applyProtection="1">
      <alignment vertical="center"/>
      <protection/>
    </xf>
    <xf numFmtId="0" fontId="6" fillId="0" borderId="0" xfId="59" applyFont="1" applyAlignment="1" applyProtection="1">
      <alignment vertical="center"/>
      <protection/>
    </xf>
    <xf numFmtId="173" fontId="6" fillId="0" borderId="0" xfId="61" applyFont="1" applyAlignment="1" applyProtection="1">
      <alignment vertical="top"/>
      <protection/>
    </xf>
    <xf numFmtId="173" fontId="44" fillId="0" borderId="0" xfId="61" applyFont="1" applyAlignment="1" applyProtection="1">
      <alignment vertical="top"/>
      <protection/>
    </xf>
    <xf numFmtId="173" fontId="9" fillId="0" borderId="0" xfId="61" applyFont="1" applyAlignment="1" applyProtection="1">
      <alignment vertical="center"/>
      <protection/>
    </xf>
    <xf numFmtId="173" fontId="44" fillId="0" borderId="0" xfId="61" applyFont="1" applyAlignment="1" applyProtection="1">
      <alignment vertical="center"/>
      <protection/>
    </xf>
    <xf numFmtId="173" fontId="6" fillId="0" borderId="0" xfId="61" applyFont="1" applyAlignment="1" applyProtection="1">
      <alignment vertical="center"/>
      <protection/>
    </xf>
    <xf numFmtId="173" fontId="45" fillId="0" borderId="0" xfId="61" applyFont="1" applyAlignment="1" applyProtection="1">
      <alignment horizontal="left" vertical="center" wrapText="1"/>
      <protection/>
    </xf>
    <xf numFmtId="173" fontId="17" fillId="0" borderId="0" xfId="61" applyFont="1" applyFill="1" applyAlignment="1" applyProtection="1">
      <alignment vertical="center"/>
      <protection/>
    </xf>
    <xf numFmtId="0" fontId="43" fillId="0" borderId="0" xfId="59" applyFont="1" applyFill="1" applyBorder="1" applyAlignment="1" applyProtection="1">
      <alignment horizontal="left" vertical="center"/>
      <protection/>
    </xf>
    <xf numFmtId="0" fontId="6" fillId="0" borderId="0" xfId="59" applyFont="1" applyFill="1" applyAlignment="1" applyProtection="1">
      <alignment vertical="center"/>
      <protection/>
    </xf>
    <xf numFmtId="0" fontId="24" fillId="0" borderId="0" xfId="59" applyFont="1" applyFill="1" applyBorder="1" applyAlignment="1" applyProtection="1">
      <alignment horizontal="center" vertical="center"/>
      <protection/>
    </xf>
    <xf numFmtId="173" fontId="13" fillId="0" borderId="0" xfId="62" applyNumberFormat="1" applyFont="1" applyAlignment="1" applyProtection="1">
      <alignment vertical="center"/>
      <protection/>
    </xf>
    <xf numFmtId="173" fontId="22" fillId="0" borderId="0" xfId="62" applyNumberFormat="1" applyFont="1" applyAlignment="1" applyProtection="1">
      <alignment vertical="center"/>
      <protection/>
    </xf>
    <xf numFmtId="173" fontId="17" fillId="0" borderId="0" xfId="62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top"/>
      <protection/>
    </xf>
    <xf numFmtId="173" fontId="17" fillId="0" borderId="0" xfId="62" applyNumberFormat="1" applyFont="1" applyBorder="1" applyAlignment="1" applyProtection="1">
      <alignment vertical="center"/>
      <protection/>
    </xf>
    <xf numFmtId="173" fontId="46" fillId="0" borderId="0" xfId="61" applyFont="1" applyAlignment="1" applyProtection="1">
      <alignment vertical="center"/>
      <protection/>
    </xf>
    <xf numFmtId="173" fontId="17" fillId="0" borderId="0" xfId="61" applyFont="1" applyBorder="1" applyAlignment="1" applyProtection="1">
      <alignment vertical="center"/>
      <protection/>
    </xf>
    <xf numFmtId="0" fontId="17" fillId="0" borderId="0" xfId="62" applyProtection="1">
      <alignment/>
      <protection/>
    </xf>
    <xf numFmtId="173" fontId="8" fillId="0" borderId="34" xfId="61" applyFont="1" applyFill="1" applyBorder="1" applyAlignment="1" applyProtection="1">
      <alignment horizontal="center" vertical="center"/>
      <protection/>
    </xf>
    <xf numFmtId="173" fontId="39" fillId="0" borderId="0" xfId="61" applyFont="1" applyAlignment="1" applyProtection="1">
      <alignment vertical="center"/>
      <protection/>
    </xf>
    <xf numFmtId="0" fontId="0" fillId="0" borderId="0" xfId="60" applyAlignment="1" applyProtection="1">
      <alignment vertical="center"/>
      <protection/>
    </xf>
    <xf numFmtId="173" fontId="47" fillId="0" borderId="0" xfId="61" applyFont="1" applyAlignment="1" applyProtection="1">
      <alignment vertical="center"/>
      <protection/>
    </xf>
    <xf numFmtId="0" fontId="17" fillId="0" borderId="0" xfId="62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98" fontId="40" fillId="0" borderId="0" xfId="61" applyNumberFormat="1" applyFont="1" applyAlignment="1" applyProtection="1">
      <alignment vertical="center"/>
      <protection/>
    </xf>
    <xf numFmtId="173" fontId="49" fillId="0" borderId="0" xfId="61" applyFont="1" applyAlignment="1" applyProtection="1">
      <alignment vertical="center"/>
      <protection/>
    </xf>
    <xf numFmtId="198" fontId="6" fillId="0" borderId="0" xfId="0" applyNumberFormat="1" applyFont="1" applyBorder="1" applyAlignment="1" applyProtection="1">
      <alignment/>
      <protection/>
    </xf>
    <xf numFmtId="198" fontId="39" fillId="0" borderId="0" xfId="61" applyNumberFormat="1" applyAlignment="1" applyProtection="1">
      <alignment vertical="center"/>
      <protection locked="0"/>
    </xf>
    <xf numFmtId="0" fontId="6" fillId="0" borderId="80" xfId="68" applyFont="1" applyFill="1" applyBorder="1" applyAlignment="1">
      <alignment horizontal="centerContinuous" vertical="center" wrapText="1"/>
      <protection/>
    </xf>
    <xf numFmtId="0" fontId="18" fillId="0" borderId="88" xfId="68" applyFont="1" applyFill="1" applyBorder="1" applyAlignment="1" applyProtection="1">
      <alignment horizontal="centerContinuous" vertical="center" wrapText="1"/>
      <protection/>
    </xf>
    <xf numFmtId="0" fontId="9" fillId="0" borderId="0" xfId="68" applyFont="1" applyBorder="1" applyAlignment="1">
      <alignment horizontal="centerContinuous" vertical="center"/>
      <protection/>
    </xf>
    <xf numFmtId="0" fontId="18" fillId="0" borderId="104" xfId="68" applyFont="1" applyFill="1" applyBorder="1" applyAlignment="1" applyProtection="1">
      <alignment horizontal="centerContinuous" vertical="center" wrapText="1"/>
      <protection/>
    </xf>
    <xf numFmtId="0" fontId="19" fillId="0" borderId="105" xfId="68" applyFont="1" applyFill="1" applyBorder="1" applyAlignment="1" applyProtection="1">
      <alignment horizontal="centerContinuous" vertical="center"/>
      <protection/>
    </xf>
    <xf numFmtId="1" fontId="6" fillId="0" borderId="0" xfId="0" applyNumberFormat="1" applyFont="1" applyAlignment="1">
      <alignment/>
    </xf>
    <xf numFmtId="1" fontId="9" fillId="0" borderId="34" xfId="0" applyNumberFormat="1" applyFont="1" applyFill="1" applyBorder="1" applyAlignment="1" applyProtection="1">
      <alignment horizontal="center" vertical="center" wrapText="1"/>
      <protection/>
    </xf>
    <xf numFmtId="1" fontId="14" fillId="0" borderId="34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Alignment="1">
      <alignment horizontal="center"/>
    </xf>
    <xf numFmtId="3" fontId="9" fillId="0" borderId="34" xfId="0" applyNumberFormat="1" applyFont="1" applyFill="1" applyBorder="1" applyAlignment="1" applyProtection="1">
      <alignment horizontal="center" vertical="center" wrapText="1"/>
      <protection/>
    </xf>
    <xf numFmtId="3" fontId="14" fillId="0" borderId="34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/>
    </xf>
    <xf numFmtId="38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92" xfId="71" applyNumberFormat="1" applyFont="1" applyBorder="1" applyAlignment="1">
      <alignment horizontal="center"/>
    </xf>
    <xf numFmtId="10" fontId="0" fillId="0" borderId="71" xfId="71" applyNumberFormat="1" applyFont="1" applyBorder="1" applyAlignment="1">
      <alignment horizontal="center"/>
    </xf>
    <xf numFmtId="10" fontId="0" fillId="0" borderId="106" xfId="71" applyNumberFormat="1" applyFont="1" applyBorder="1" applyAlignment="1">
      <alignment horizontal="center"/>
    </xf>
    <xf numFmtId="10" fontId="26" fillId="0" borderId="44" xfId="71" applyNumberFormat="1" applyFont="1" applyBorder="1" applyAlignment="1">
      <alignment horizontal="center" wrapText="1"/>
    </xf>
    <xf numFmtId="10" fontId="0" fillId="0" borderId="44" xfId="71" applyNumberFormat="1" applyFont="1" applyBorder="1" applyAlignment="1">
      <alignment horizontal="center"/>
    </xf>
    <xf numFmtId="10" fontId="0" fillId="0" borderId="58" xfId="71" applyNumberFormat="1" applyFont="1" applyBorder="1" applyAlignment="1">
      <alignment horizontal="center"/>
    </xf>
    <xf numFmtId="200" fontId="6" fillId="24" borderId="64" xfId="0" applyNumberFormat="1" applyFont="1" applyFill="1" applyBorder="1" applyAlignment="1">
      <alignment/>
    </xf>
    <xf numFmtId="200" fontId="6" fillId="24" borderId="92" xfId="0" applyNumberFormat="1" applyFont="1" applyFill="1" applyBorder="1" applyAlignment="1">
      <alignment/>
    </xf>
    <xf numFmtId="200" fontId="6" fillId="0" borderId="107" xfId="0" applyNumberFormat="1" applyFont="1" applyFill="1" applyBorder="1" applyAlignment="1">
      <alignment/>
    </xf>
    <xf numFmtId="200" fontId="6" fillId="0" borderId="108" xfId="0" applyNumberFormat="1" applyFont="1" applyFill="1" applyBorder="1" applyAlignment="1">
      <alignment/>
    </xf>
    <xf numFmtId="200" fontId="6" fillId="0" borderId="109" xfId="0" applyNumberFormat="1" applyFont="1" applyFill="1" applyBorder="1" applyAlignment="1">
      <alignment/>
    </xf>
    <xf numFmtId="200" fontId="6" fillId="0" borderId="53" xfId="63" applyNumberFormat="1" applyFont="1" applyFill="1" applyBorder="1">
      <alignment/>
      <protection/>
    </xf>
    <xf numFmtId="200" fontId="6" fillId="0" borderId="108" xfId="63" applyNumberFormat="1" applyFont="1" applyFill="1" applyBorder="1">
      <alignment/>
      <protection/>
    </xf>
    <xf numFmtId="200" fontId="6" fillId="0" borderId="107" xfId="63" applyNumberFormat="1" applyFont="1" applyFill="1" applyBorder="1">
      <alignment/>
      <protection/>
    </xf>
    <xf numFmtId="200" fontId="6" fillId="24" borderId="65" xfId="0" applyNumberFormat="1" applyFont="1" applyFill="1" applyBorder="1" applyAlignment="1">
      <alignment/>
    </xf>
    <xf numFmtId="200" fontId="6" fillId="24" borderId="110" xfId="0" applyNumberFormat="1" applyFont="1" applyFill="1" applyBorder="1" applyAlignment="1">
      <alignment vertical="center"/>
    </xf>
    <xf numFmtId="200" fontId="6" fillId="0" borderId="107" xfId="0" applyNumberFormat="1" applyFont="1" applyFill="1" applyBorder="1" applyAlignment="1" applyProtection="1">
      <alignment vertical="center"/>
      <protection/>
    </xf>
    <xf numFmtId="200" fontId="6" fillId="0" borderId="111" xfId="0" applyNumberFormat="1" applyFont="1" applyFill="1" applyBorder="1" applyAlignment="1" applyProtection="1">
      <alignment vertical="center"/>
      <protection/>
    </xf>
    <xf numFmtId="200" fontId="6" fillId="0" borderId="88" xfId="63" applyNumberFormat="1" applyFont="1" applyFill="1" applyBorder="1" applyProtection="1">
      <alignment/>
      <protection/>
    </xf>
    <xf numFmtId="200" fontId="6" fillId="0" borderId="91" xfId="63" applyNumberFormat="1" applyFont="1" applyFill="1" applyBorder="1" applyProtection="1">
      <alignment/>
      <protection/>
    </xf>
    <xf numFmtId="200" fontId="6" fillId="0" borderId="66" xfId="63" applyNumberFormat="1" applyFont="1" applyFill="1" applyBorder="1" applyProtection="1">
      <alignment/>
      <protection/>
    </xf>
    <xf numFmtId="200" fontId="6" fillId="0" borderId="92" xfId="63" applyNumberFormat="1" applyFont="1" applyFill="1" applyBorder="1" applyProtection="1">
      <alignment/>
      <protection/>
    </xf>
    <xf numFmtId="200" fontId="6" fillId="0" borderId="107" xfId="63" applyNumberFormat="1" applyFont="1" applyFill="1" applyBorder="1" applyProtection="1">
      <alignment/>
      <protection/>
    </xf>
    <xf numFmtId="200" fontId="6" fillId="0" borderId="108" xfId="63" applyNumberFormat="1" applyFont="1" applyFill="1" applyBorder="1" applyProtection="1">
      <alignment/>
      <protection/>
    </xf>
    <xf numFmtId="200" fontId="6" fillId="0" borderId="82" xfId="64" applyNumberFormat="1" applyFont="1" applyFill="1" applyBorder="1" applyAlignment="1" applyProtection="1">
      <alignment/>
      <protection/>
    </xf>
    <xf numFmtId="200" fontId="6" fillId="0" borderId="71" xfId="64" applyNumberFormat="1" applyFont="1" applyFill="1" applyBorder="1" applyAlignment="1" applyProtection="1">
      <alignment/>
      <protection/>
    </xf>
    <xf numFmtId="200" fontId="6" fillId="24" borderId="107" xfId="64" applyNumberFormat="1" applyFont="1" applyFill="1" applyBorder="1" applyAlignment="1">
      <alignment/>
      <protection/>
    </xf>
    <xf numFmtId="200" fontId="6" fillId="24" borderId="109" xfId="64" applyNumberFormat="1" applyFont="1" applyFill="1" applyBorder="1" applyAlignment="1">
      <alignment/>
      <protection/>
    </xf>
    <xf numFmtId="200" fontId="6" fillId="24" borderId="108" xfId="64" applyNumberFormat="1" applyFont="1" applyFill="1" applyBorder="1" applyAlignment="1">
      <alignment/>
      <protection/>
    </xf>
    <xf numFmtId="200" fontId="6" fillId="24" borderId="107" xfId="65" applyNumberFormat="1" applyFont="1" applyFill="1" applyBorder="1">
      <alignment/>
      <protection/>
    </xf>
    <xf numFmtId="200" fontId="6" fillId="24" borderId="108" xfId="65" applyNumberFormat="1" applyFont="1" applyFill="1" applyBorder="1">
      <alignment/>
      <protection/>
    </xf>
    <xf numFmtId="200" fontId="6" fillId="24" borderId="109" xfId="65" applyNumberFormat="1" applyFont="1" applyFill="1" applyBorder="1">
      <alignment/>
      <protection/>
    </xf>
    <xf numFmtId="200" fontId="6" fillId="24" borderId="81" xfId="65" applyNumberFormat="1" applyFont="1" applyFill="1" applyBorder="1">
      <alignment/>
      <protection/>
    </xf>
    <xf numFmtId="200" fontId="6" fillId="24" borderId="112" xfId="65" applyNumberFormat="1" applyFont="1" applyFill="1" applyBorder="1">
      <alignment/>
      <protection/>
    </xf>
    <xf numFmtId="200" fontId="6" fillId="24" borderId="69" xfId="65" applyNumberFormat="1" applyFont="1" applyFill="1" applyBorder="1">
      <alignment/>
      <protection/>
    </xf>
    <xf numFmtId="200" fontId="6" fillId="24" borderId="88" xfId="66" applyNumberFormat="1" applyFont="1" applyFill="1" applyBorder="1">
      <alignment/>
      <protection/>
    </xf>
    <xf numFmtId="200" fontId="6" fillId="24" borderId="112" xfId="66" applyNumberFormat="1" applyFont="1" applyFill="1" applyBorder="1">
      <alignment/>
      <protection/>
    </xf>
    <xf numFmtId="200" fontId="6" fillId="24" borderId="66" xfId="66" applyNumberFormat="1" applyFont="1" applyFill="1" applyBorder="1">
      <alignment/>
      <protection/>
    </xf>
    <xf numFmtId="200" fontId="6" fillId="24" borderId="69" xfId="66" applyNumberFormat="1" applyFont="1" applyFill="1" applyBorder="1">
      <alignment/>
      <protection/>
    </xf>
    <xf numFmtId="200" fontId="6" fillId="24" borderId="107" xfId="66" applyNumberFormat="1" applyFont="1" applyFill="1" applyBorder="1">
      <alignment/>
      <protection/>
    </xf>
    <xf numFmtId="200" fontId="6" fillId="24" borderId="109" xfId="66" applyNumberFormat="1" applyFont="1" applyFill="1" applyBorder="1">
      <alignment/>
      <protection/>
    </xf>
    <xf numFmtId="200" fontId="6" fillId="24" borderId="108" xfId="66" applyNumberFormat="1" applyFont="1" applyFill="1" applyBorder="1">
      <alignment/>
      <protection/>
    </xf>
    <xf numFmtId="200" fontId="6" fillId="24" borderId="82" xfId="67" applyNumberFormat="1" applyFont="1" applyFill="1" applyBorder="1" applyAlignment="1">
      <alignment/>
      <protection/>
    </xf>
    <xf numFmtId="200" fontId="6" fillId="24" borderId="78" xfId="67" applyNumberFormat="1" applyFont="1" applyFill="1" applyBorder="1" applyAlignment="1">
      <alignment/>
      <protection/>
    </xf>
    <xf numFmtId="200" fontId="6" fillId="24" borderId="107" xfId="67" applyNumberFormat="1" applyFont="1" applyFill="1" applyBorder="1" applyAlignment="1">
      <alignment/>
      <protection/>
    </xf>
    <xf numFmtId="200" fontId="6" fillId="24" borderId="108" xfId="67" applyNumberFormat="1" applyFont="1" applyFill="1" applyBorder="1" applyAlignment="1">
      <alignment/>
      <protection/>
    </xf>
    <xf numFmtId="200" fontId="6" fillId="24" borderId="88" xfId="0" applyNumberFormat="1" applyFont="1" applyFill="1" applyBorder="1" applyAlignment="1">
      <alignment/>
    </xf>
    <xf numFmtId="200" fontId="6" fillId="24" borderId="91" xfId="0" applyNumberFormat="1" applyFont="1" applyFill="1" applyBorder="1" applyAlignment="1">
      <alignment/>
    </xf>
    <xf numFmtId="200" fontId="6" fillId="24" borderId="66" xfId="0" applyNumberFormat="1" applyFont="1" applyFill="1" applyBorder="1" applyAlignment="1">
      <alignment/>
    </xf>
    <xf numFmtId="200" fontId="6" fillId="24" borderId="92" xfId="0" applyNumberFormat="1" applyFont="1" applyFill="1" applyBorder="1" applyAlignment="1">
      <alignment/>
    </xf>
    <xf numFmtId="200" fontId="6" fillId="0" borderId="107" xfId="0" applyNumberFormat="1" applyFont="1" applyFill="1" applyBorder="1" applyAlignment="1" applyProtection="1">
      <alignment/>
      <protection/>
    </xf>
    <xf numFmtId="200" fontId="6" fillId="0" borderId="109" xfId="0" applyNumberFormat="1" applyFont="1" applyFill="1" applyBorder="1" applyAlignment="1" applyProtection="1">
      <alignment/>
      <protection/>
    </xf>
    <xf numFmtId="200" fontId="6" fillId="0" borderId="108" xfId="0" applyNumberFormat="1" applyFont="1" applyFill="1" applyBorder="1" applyAlignment="1" applyProtection="1">
      <alignment/>
      <protection/>
    </xf>
    <xf numFmtId="200" fontId="6" fillId="24" borderId="107" xfId="68" applyNumberFormat="1" applyFont="1" applyFill="1" applyBorder="1">
      <alignment/>
      <protection/>
    </xf>
    <xf numFmtId="200" fontId="6" fillId="24" borderId="108" xfId="68" applyNumberFormat="1" applyFont="1" applyFill="1" applyBorder="1">
      <alignment/>
      <protection/>
    </xf>
    <xf numFmtId="200" fontId="6" fillId="24" borderId="109" xfId="68" applyNumberFormat="1" applyFont="1" applyFill="1" applyBorder="1">
      <alignment/>
      <protection/>
    </xf>
    <xf numFmtId="0" fontId="6" fillId="0" borderId="113" xfId="68" applyFont="1" applyFill="1" applyBorder="1" applyAlignment="1">
      <alignment horizontal="centerContinuous" vertical="center" wrapText="1"/>
      <protection/>
    </xf>
    <xf numFmtId="200" fontId="6" fillId="24" borderId="114" xfId="0" applyNumberFormat="1" applyFont="1" applyFill="1" applyBorder="1" applyAlignment="1">
      <alignment/>
    </xf>
    <xf numFmtId="200" fontId="6" fillId="24" borderId="115" xfId="0" applyNumberFormat="1" applyFont="1" applyFill="1" applyBorder="1" applyAlignment="1">
      <alignment/>
    </xf>
    <xf numFmtId="200" fontId="6" fillId="24" borderId="65" xfId="0" applyNumberFormat="1" applyFont="1" applyFill="1" applyBorder="1" applyAlignment="1">
      <alignment/>
    </xf>
    <xf numFmtId="200" fontId="6" fillId="24" borderId="107" xfId="0" applyNumberFormat="1" applyFont="1" applyFill="1" applyBorder="1" applyAlignment="1">
      <alignment/>
    </xf>
    <xf numFmtId="200" fontId="6" fillId="24" borderId="69" xfId="0" applyNumberFormat="1" applyFont="1" applyFill="1" applyBorder="1" applyAlignment="1">
      <alignment/>
    </xf>
    <xf numFmtId="200" fontId="9" fillId="0" borderId="75" xfId="0" applyNumberFormat="1" applyFont="1" applyFill="1" applyBorder="1" applyAlignment="1" applyProtection="1">
      <alignment vertical="center"/>
      <protection/>
    </xf>
    <xf numFmtId="0" fontId="41" fillId="0" borderId="0" xfId="61" applyNumberFormat="1" applyFont="1" applyAlignment="1" applyProtection="1">
      <alignment vertical="center"/>
      <protection/>
    </xf>
    <xf numFmtId="0" fontId="20" fillId="0" borderId="26" xfId="68" applyFont="1" applyFill="1" applyBorder="1" applyAlignment="1">
      <alignment horizontal="center"/>
      <protection/>
    </xf>
    <xf numFmtId="0" fontId="39" fillId="0" borderId="0" xfId="61" applyNumberFormat="1" applyAlignment="1" applyProtection="1">
      <alignment vertical="center"/>
      <protection locked="0"/>
    </xf>
    <xf numFmtId="0" fontId="25" fillId="0" borderId="116" xfId="0" applyFont="1" applyBorder="1" applyAlignment="1">
      <alignment horizontal="left" vertical="center" wrapText="1"/>
    </xf>
    <xf numFmtId="0" fontId="7" fillId="0" borderId="38" xfId="0" applyFont="1" applyFill="1" applyBorder="1" applyAlignment="1" applyProtection="1">
      <alignment horizontal="left"/>
      <protection/>
    </xf>
    <xf numFmtId="0" fontId="28" fillId="0" borderId="24" xfId="0" applyFont="1" applyFill="1" applyBorder="1" applyAlignment="1">
      <alignment horizontal="center"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117" xfId="0" applyNumberFormat="1" applyFont="1" applyFill="1" applyBorder="1" applyAlignment="1" applyProtection="1">
      <alignment horizontal="center" vertical="center" wrapText="1"/>
      <protection/>
    </xf>
    <xf numFmtId="0" fontId="19" fillId="0" borderId="117" xfId="0" applyFont="1" applyFill="1" applyBorder="1" applyAlignment="1" applyProtection="1">
      <alignment horizontal="center" vertical="center" wrapText="1"/>
      <protection/>
    </xf>
    <xf numFmtId="0" fontId="53" fillId="0" borderId="31" xfId="0" applyFont="1" applyFill="1" applyBorder="1" applyAlignment="1">
      <alignment horizontal="center" vertical="center" wrapText="1"/>
    </xf>
    <xf numFmtId="0" fontId="53" fillId="0" borderId="118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18" fillId="0" borderId="19" xfId="68" applyFont="1" applyFill="1" applyBorder="1" applyAlignment="1" applyProtection="1">
      <alignment horizontal="centerContinuous" vertical="center" wrapText="1"/>
      <protection/>
    </xf>
    <xf numFmtId="0" fontId="6" fillId="0" borderId="20" xfId="68" applyFont="1" applyFill="1" applyBorder="1" applyAlignment="1">
      <alignment horizontal="centerContinuous" vertical="center" wrapText="1"/>
      <protection/>
    </xf>
    <xf numFmtId="2" fontId="6" fillId="0" borderId="119" xfId="0" applyNumberFormat="1" applyFont="1" applyBorder="1" applyAlignment="1">
      <alignment horizontal="center" vertical="center" wrapText="1"/>
    </xf>
    <xf numFmtId="173" fontId="13" fillId="0" borderId="0" xfId="61" applyFont="1" applyAlignment="1" applyProtection="1">
      <alignment horizontal="left" vertical="center" wrapText="1"/>
      <protection/>
    </xf>
    <xf numFmtId="198" fontId="39" fillId="0" borderId="0" xfId="61" applyNumberFormat="1" applyFont="1" applyFill="1" applyAlignment="1" applyProtection="1">
      <alignment vertical="center"/>
      <protection/>
    </xf>
    <xf numFmtId="198" fontId="40" fillId="0" borderId="0" xfId="61" applyNumberFormat="1" applyFont="1" applyFill="1" applyAlignment="1" applyProtection="1">
      <alignment vertical="center"/>
      <protection/>
    </xf>
    <xf numFmtId="173" fontId="56" fillId="0" borderId="0" xfId="61" applyFont="1" applyAlignment="1">
      <alignment horizontal="center" vertical="center" wrapText="1"/>
      <protection/>
    </xf>
    <xf numFmtId="0" fontId="56" fillId="0" borderId="0" xfId="61" applyNumberFormat="1" applyFont="1" applyAlignment="1">
      <alignment horizontal="center" vertical="center" wrapText="1"/>
      <protection/>
    </xf>
    <xf numFmtId="49" fontId="58" fillId="0" borderId="59" xfId="36" applyNumberFormat="1" applyFont="1" applyBorder="1" applyAlignment="1" applyProtection="1">
      <alignment horizontal="left" vertical="center"/>
      <protection locked="0"/>
    </xf>
    <xf numFmtId="0" fontId="39" fillId="0" borderId="0" xfId="61" applyNumberFormat="1" applyAlignment="1">
      <alignment vertical="center"/>
      <protection/>
    </xf>
    <xf numFmtId="173" fontId="13" fillId="0" borderId="0" xfId="61" applyFont="1" applyBorder="1" applyAlignment="1" applyProtection="1">
      <alignment horizontal="left" vertical="center" wrapText="1"/>
      <protection/>
    </xf>
    <xf numFmtId="173" fontId="39" fillId="0" borderId="0" xfId="61" applyFont="1" applyAlignment="1">
      <alignment vertical="center"/>
      <protection/>
    </xf>
    <xf numFmtId="173" fontId="59" fillId="0" borderId="0" xfId="61" applyFont="1" applyAlignment="1" applyProtection="1">
      <alignment vertical="center"/>
      <protection/>
    </xf>
    <xf numFmtId="173" fontId="59" fillId="0" borderId="0" xfId="61" applyFont="1" applyAlignment="1">
      <alignment vertical="center"/>
      <protection/>
    </xf>
    <xf numFmtId="0" fontId="6" fillId="0" borderId="120" xfId="0" applyFont="1" applyFill="1" applyBorder="1" applyAlignment="1" applyProtection="1">
      <alignment horizontal="left"/>
      <protection/>
    </xf>
    <xf numFmtId="3" fontId="6" fillId="24" borderId="121" xfId="0" applyNumberFormat="1" applyFont="1" applyFill="1" applyBorder="1" applyAlignment="1">
      <alignment horizontal="center"/>
    </xf>
    <xf numFmtId="0" fontId="9" fillId="0" borderId="122" xfId="0" applyFont="1" applyFill="1" applyBorder="1" applyAlignment="1" applyProtection="1">
      <alignment horizontal="center"/>
      <protection/>
    </xf>
    <xf numFmtId="3" fontId="9" fillId="0" borderId="123" xfId="0" applyNumberFormat="1" applyFont="1" applyBorder="1" applyAlignment="1">
      <alignment horizontal="center"/>
    </xf>
    <xf numFmtId="2" fontId="6" fillId="0" borderId="27" xfId="47" applyNumberFormat="1" applyFont="1" applyFill="1" applyBorder="1" applyAlignment="1" applyProtection="1">
      <alignment/>
      <protection locked="0"/>
    </xf>
    <xf numFmtId="2" fontId="6" fillId="0" borderId="48" xfId="47" applyNumberFormat="1" applyFont="1" applyFill="1" applyBorder="1" applyAlignment="1" applyProtection="1">
      <alignment/>
      <protection locked="0"/>
    </xf>
    <xf numFmtId="2" fontId="6" fillId="0" borderId="92" xfId="47" applyNumberFormat="1" applyFont="1" applyFill="1" applyBorder="1" applyAlignment="1" applyProtection="1">
      <alignment/>
      <protection locked="0"/>
    </xf>
    <xf numFmtId="2" fontId="6" fillId="0" borderId="82" xfId="47" applyNumberFormat="1" applyFont="1" applyFill="1" applyBorder="1" applyAlignment="1" applyProtection="1">
      <alignment/>
      <protection locked="0"/>
    </xf>
    <xf numFmtId="2" fontId="6" fillId="0" borderId="78" xfId="47" applyNumberFormat="1" applyFont="1" applyFill="1" applyBorder="1" applyAlignment="1" applyProtection="1">
      <alignment/>
      <protection locked="0"/>
    </xf>
    <xf numFmtId="2" fontId="6" fillId="0" borderId="71" xfId="47" applyNumberFormat="1" applyFont="1" applyFill="1" applyBorder="1" applyAlignment="1" applyProtection="1">
      <alignment/>
      <protection locked="0"/>
    </xf>
    <xf numFmtId="0" fontId="16" fillId="0" borderId="27" xfId="0" applyFont="1" applyFill="1" applyBorder="1" applyAlignment="1" applyProtection="1">
      <alignment horizontal="center"/>
      <protection/>
    </xf>
    <xf numFmtId="0" fontId="16" fillId="0" borderId="28" xfId="0" applyFont="1" applyFill="1" applyBorder="1" applyAlignment="1" applyProtection="1">
      <alignment horizontal="center"/>
      <protection/>
    </xf>
    <xf numFmtId="0" fontId="16" fillId="0" borderId="40" xfId="0" applyFont="1" applyFill="1" applyBorder="1" applyAlignment="1" applyProtection="1">
      <alignment horizontal="center"/>
      <protection/>
    </xf>
    <xf numFmtId="2" fontId="6" fillId="0" borderId="104" xfId="47" applyNumberFormat="1" applyFont="1" applyFill="1" applyBorder="1" applyAlignment="1" applyProtection="1">
      <alignment/>
      <protection locked="0"/>
    </xf>
    <xf numFmtId="208" fontId="6" fillId="24" borderId="114" xfId="0" applyNumberFormat="1" applyFont="1" applyFill="1" applyBorder="1" applyAlignment="1">
      <alignment/>
    </xf>
    <xf numFmtId="0" fontId="14" fillId="0" borderId="120" xfId="0" applyFont="1" applyBorder="1" applyAlignment="1">
      <alignment horizontal="center" vertical="center" wrapText="1"/>
    </xf>
    <xf numFmtId="0" fontId="14" fillId="0" borderId="121" xfId="0" applyFont="1" applyBorder="1" applyAlignment="1">
      <alignment horizontal="center" vertical="center" wrapText="1"/>
    </xf>
    <xf numFmtId="0" fontId="14" fillId="0" borderId="124" xfId="0" applyFont="1" applyBorder="1" applyAlignment="1">
      <alignment horizontal="center" vertical="center" wrapText="1"/>
    </xf>
    <xf numFmtId="173" fontId="17" fillId="0" borderId="0" xfId="61" applyFont="1" applyAlignment="1" applyProtection="1">
      <alignment vertical="top"/>
      <protection/>
    </xf>
    <xf numFmtId="173" fontId="17" fillId="0" borderId="0" xfId="61" applyFont="1" applyAlignment="1">
      <alignment vertical="top"/>
      <protection/>
    </xf>
    <xf numFmtId="200" fontId="6" fillId="0" borderId="125" xfId="63" applyNumberFormat="1" applyFont="1" applyFill="1" applyBorder="1">
      <alignment/>
      <protection/>
    </xf>
    <xf numFmtId="3" fontId="6" fillId="0" borderId="58" xfId="63" applyNumberFormat="1" applyFont="1" applyFill="1" applyBorder="1" applyProtection="1">
      <alignment/>
      <protection locked="0"/>
    </xf>
    <xf numFmtId="200" fontId="6" fillId="0" borderId="29" xfId="63" applyNumberFormat="1" applyFont="1" applyFill="1" applyBorder="1">
      <alignment/>
      <protection/>
    </xf>
    <xf numFmtId="3" fontId="6" fillId="0" borderId="88" xfId="63" applyNumberFormat="1" applyFont="1" applyFill="1" applyBorder="1" applyProtection="1">
      <alignment/>
      <protection locked="0"/>
    </xf>
    <xf numFmtId="200" fontId="6" fillId="0" borderId="125" xfId="63" applyNumberFormat="1" applyFont="1" applyFill="1" applyBorder="1" applyProtection="1">
      <alignment/>
      <protection/>
    </xf>
    <xf numFmtId="3" fontId="6" fillId="0" borderId="66" xfId="63" applyNumberFormat="1" applyFont="1" applyFill="1" applyBorder="1" applyProtection="1">
      <alignment/>
      <protection locked="0"/>
    </xf>
    <xf numFmtId="3" fontId="6" fillId="0" borderId="126" xfId="67" applyNumberFormat="1" applyFont="1" applyFill="1" applyBorder="1" applyAlignment="1" applyProtection="1">
      <alignment/>
      <protection locked="0"/>
    </xf>
    <xf numFmtId="3" fontId="6" fillId="0" borderId="79" xfId="67" applyNumberFormat="1" applyFont="1" applyFill="1" applyBorder="1" applyAlignment="1" applyProtection="1">
      <alignment/>
      <protection locked="0"/>
    </xf>
    <xf numFmtId="200" fontId="6" fillId="24" borderId="125" xfId="67" applyNumberFormat="1" applyFont="1" applyFill="1" applyBorder="1" applyAlignment="1">
      <alignment/>
      <protection/>
    </xf>
    <xf numFmtId="200" fontId="6" fillId="24" borderId="127" xfId="67" applyNumberFormat="1" applyFont="1" applyFill="1" applyBorder="1" applyAlignment="1">
      <alignment/>
      <protection/>
    </xf>
    <xf numFmtId="0" fontId="18" fillId="0" borderId="128" xfId="67" applyFont="1" applyFill="1" applyBorder="1" applyAlignment="1" applyProtection="1">
      <alignment horizontal="centerContinuous" vertical="center" wrapText="1"/>
      <protection/>
    </xf>
    <xf numFmtId="0" fontId="6" fillId="0" borderId="129" xfId="67" applyFont="1" applyFill="1" applyBorder="1" applyAlignment="1" applyProtection="1">
      <alignment horizontal="centerContinuous" vertical="center" wrapText="1"/>
      <protection/>
    </xf>
    <xf numFmtId="200" fontId="6" fillId="24" borderId="130" xfId="67" applyNumberFormat="1" applyFont="1" applyFill="1" applyBorder="1" applyAlignment="1">
      <alignment/>
      <protection/>
    </xf>
    <xf numFmtId="0" fontId="19" fillId="0" borderId="131" xfId="67" applyFont="1" applyFill="1" applyBorder="1" applyAlignment="1" applyProtection="1">
      <alignment horizontal="centerContinuous" vertical="center" wrapText="1"/>
      <protection/>
    </xf>
    <xf numFmtId="0" fontId="19" fillId="0" borderId="132" xfId="67" applyFont="1" applyFill="1" applyBorder="1" applyAlignment="1" applyProtection="1">
      <alignment horizontal="centerContinuous" vertical="center" wrapText="1"/>
      <protection/>
    </xf>
    <xf numFmtId="200" fontId="6" fillId="24" borderId="133" xfId="67" applyNumberFormat="1" applyFont="1" applyFill="1" applyBorder="1" applyAlignment="1">
      <alignment/>
      <protection/>
    </xf>
    <xf numFmtId="200" fontId="0" fillId="0" borderId="134" xfId="0" applyNumberFormat="1" applyBorder="1" applyAlignment="1">
      <alignment/>
    </xf>
    <xf numFmtId="200" fontId="6" fillId="0" borderId="109" xfId="63" applyNumberFormat="1" applyFont="1" applyFill="1" applyBorder="1" applyProtection="1">
      <alignment/>
      <protection/>
    </xf>
    <xf numFmtId="200" fontId="6" fillId="24" borderId="114" xfId="64" applyNumberFormat="1" applyFont="1" applyFill="1" applyBorder="1" applyAlignment="1">
      <alignment/>
      <protection/>
    </xf>
    <xf numFmtId="200" fontId="6" fillId="24" borderId="82" xfId="68" applyNumberFormat="1" applyFont="1" applyFill="1" applyBorder="1">
      <alignment/>
      <protection/>
    </xf>
    <xf numFmtId="0" fontId="20" fillId="0" borderId="95" xfId="68" applyFont="1" applyFill="1" applyBorder="1" applyAlignment="1" applyProtection="1">
      <alignment horizontal="center"/>
      <protection/>
    </xf>
    <xf numFmtId="200" fontId="6" fillId="24" borderId="78" xfId="68" applyNumberFormat="1" applyFont="1" applyFill="1" applyBorder="1">
      <alignment/>
      <protection/>
    </xf>
    <xf numFmtId="173" fontId="13" fillId="0" borderId="0" xfId="61" applyFont="1" applyFill="1" applyBorder="1" applyAlignment="1" applyProtection="1">
      <alignment vertical="center"/>
      <protection locked="0"/>
    </xf>
    <xf numFmtId="173" fontId="39" fillId="24" borderId="0" xfId="61" applyFont="1" applyFill="1" applyAlignment="1" applyProtection="1">
      <alignment vertical="center"/>
      <protection/>
    </xf>
    <xf numFmtId="173" fontId="17" fillId="24" borderId="0" xfId="61" applyFont="1" applyFill="1" applyAlignment="1" applyProtection="1">
      <alignment vertical="center"/>
      <protection/>
    </xf>
    <xf numFmtId="0" fontId="0" fillId="24" borderId="0" xfId="0" applyFill="1" applyAlignment="1" applyProtection="1">
      <alignment/>
      <protection/>
    </xf>
    <xf numFmtId="173" fontId="49" fillId="24" borderId="0" xfId="61" applyFont="1" applyFill="1" applyAlignment="1" applyProtection="1">
      <alignment vertical="center"/>
      <protection/>
    </xf>
    <xf numFmtId="173" fontId="13" fillId="24" borderId="0" xfId="61" applyFont="1" applyFill="1" applyAlignment="1" applyProtection="1">
      <alignment vertical="center"/>
      <protection/>
    </xf>
    <xf numFmtId="173" fontId="13" fillId="24" borderId="0" xfId="61" applyFont="1" applyFill="1" applyAlignment="1" applyProtection="1">
      <alignment horizontal="left" vertical="center"/>
      <protection/>
    </xf>
    <xf numFmtId="173" fontId="22" fillId="24" borderId="0" xfId="61" applyFont="1" applyFill="1" applyAlignment="1" applyProtection="1">
      <alignment horizontal="left" vertical="center"/>
      <protection/>
    </xf>
    <xf numFmtId="173" fontId="17" fillId="24" borderId="0" xfId="61" applyFont="1" applyFill="1" applyAlignment="1" applyProtection="1">
      <alignment horizontal="left" vertical="center"/>
      <protection/>
    </xf>
    <xf numFmtId="173" fontId="22" fillId="24" borderId="0" xfId="61" applyFont="1" applyFill="1" applyAlignment="1" applyProtection="1">
      <alignment vertical="center"/>
      <protection/>
    </xf>
    <xf numFmtId="173" fontId="60" fillId="24" borderId="0" xfId="61" applyFont="1" applyFill="1" applyAlignment="1" applyProtection="1">
      <alignment vertical="center"/>
      <protection/>
    </xf>
    <xf numFmtId="173" fontId="13" fillId="24" borderId="0" xfId="61" applyFont="1" applyFill="1" applyBorder="1" applyAlignment="1" applyProtection="1">
      <alignment horizontal="left" vertical="center"/>
      <protection/>
    </xf>
    <xf numFmtId="173" fontId="13" fillId="24" borderId="0" xfId="61" applyFont="1" applyFill="1" applyBorder="1" applyAlignment="1" applyProtection="1">
      <alignment vertical="center"/>
      <protection/>
    </xf>
    <xf numFmtId="0" fontId="60" fillId="24" borderId="0" xfId="62" applyFont="1" applyFill="1" applyAlignment="1" applyProtection="1">
      <alignment vertical="center"/>
      <protection/>
    </xf>
    <xf numFmtId="0" fontId="13" fillId="24" borderId="0" xfId="62" applyFont="1" applyFill="1" applyAlignment="1" applyProtection="1">
      <alignment vertical="center"/>
      <protection/>
    </xf>
    <xf numFmtId="173" fontId="17" fillId="24" borderId="0" xfId="61" applyFont="1" applyFill="1" applyBorder="1" applyAlignment="1" applyProtection="1">
      <alignment vertical="center"/>
      <protection/>
    </xf>
    <xf numFmtId="173" fontId="17" fillId="24" borderId="116" xfId="61" applyFont="1" applyFill="1" applyBorder="1" applyAlignment="1" applyProtection="1">
      <alignment vertical="center"/>
      <protection/>
    </xf>
    <xf numFmtId="173" fontId="52" fillId="24" borderId="116" xfId="61" applyFont="1" applyFill="1" applyBorder="1" applyAlignment="1" applyProtection="1">
      <alignment vertical="center"/>
      <protection/>
    </xf>
    <xf numFmtId="173" fontId="60" fillId="24" borderId="79" xfId="61" applyFont="1" applyFill="1" applyBorder="1" applyAlignment="1" applyProtection="1">
      <alignment vertical="center"/>
      <protection/>
    </xf>
    <xf numFmtId="173" fontId="13" fillId="24" borderId="79" xfId="61" applyFont="1" applyFill="1" applyBorder="1" applyAlignment="1" applyProtection="1">
      <alignment vertical="center"/>
      <protection/>
    </xf>
    <xf numFmtId="173" fontId="39" fillId="24" borderId="116" xfId="61" applyFont="1" applyFill="1" applyBorder="1" applyAlignment="1" applyProtection="1">
      <alignment vertical="center"/>
      <protection/>
    </xf>
    <xf numFmtId="173" fontId="13" fillId="0" borderId="0" xfId="61" applyFont="1" applyFill="1" applyBorder="1" applyAlignment="1" applyProtection="1">
      <alignment vertical="center"/>
      <protection/>
    </xf>
    <xf numFmtId="173" fontId="39" fillId="0" borderId="0" xfId="61" applyBorder="1" applyAlignment="1">
      <alignment vertical="center"/>
      <protection/>
    </xf>
    <xf numFmtId="173" fontId="39" fillId="0" borderId="0" xfId="61" applyAlignment="1" applyProtection="1">
      <alignment vertical="center"/>
      <protection locked="0"/>
    </xf>
    <xf numFmtId="198" fontId="39" fillId="24" borderId="135" xfId="61" applyNumberFormat="1" applyFont="1" applyFill="1" applyBorder="1" applyAlignment="1" applyProtection="1">
      <alignment vertical="center"/>
      <protection/>
    </xf>
    <xf numFmtId="198" fontId="39" fillId="24" borderId="136" xfId="61" applyNumberFormat="1" applyFont="1" applyFill="1" applyBorder="1" applyAlignment="1" applyProtection="1">
      <alignment vertical="center"/>
      <protection/>
    </xf>
    <xf numFmtId="173" fontId="39" fillId="24" borderId="135" xfId="61" applyFill="1" applyBorder="1" applyAlignment="1" applyProtection="1">
      <alignment vertical="center"/>
      <protection/>
    </xf>
    <xf numFmtId="173" fontId="22" fillId="16" borderId="34" xfId="61" applyFont="1" applyFill="1" applyBorder="1" applyAlignment="1" applyProtection="1">
      <alignment horizontal="center" vertical="center"/>
      <protection/>
    </xf>
    <xf numFmtId="0" fontId="22" fillId="24" borderId="0" xfId="0" applyFont="1" applyFill="1" applyAlignment="1" applyProtection="1">
      <alignment/>
      <protection/>
    </xf>
    <xf numFmtId="173" fontId="13" fillId="24" borderId="135" xfId="61" applyFont="1" applyFill="1" applyBorder="1" applyAlignment="1" applyProtection="1">
      <alignment vertical="center"/>
      <protection/>
    </xf>
    <xf numFmtId="0" fontId="13" fillId="24" borderId="135" xfId="62" applyFont="1" applyFill="1" applyBorder="1" applyAlignment="1" applyProtection="1">
      <alignment vertical="center"/>
      <protection/>
    </xf>
    <xf numFmtId="173" fontId="13" fillId="24" borderId="81" xfId="61" applyFont="1" applyFill="1" applyBorder="1" applyAlignment="1" applyProtection="1">
      <alignment vertical="center"/>
      <protection/>
    </xf>
    <xf numFmtId="1" fontId="13" fillId="22" borderId="34" xfId="61" applyNumberFormat="1" applyFont="1" applyFill="1" applyBorder="1" applyAlignment="1" applyProtection="1">
      <alignment vertical="center"/>
      <protection locked="0"/>
    </xf>
    <xf numFmtId="1" fontId="13" fillId="22" borderId="34" xfId="62" applyNumberFormat="1" applyFont="1" applyFill="1" applyBorder="1" applyAlignment="1" applyProtection="1">
      <alignment vertical="center"/>
      <protection locked="0"/>
    </xf>
    <xf numFmtId="49" fontId="17" fillId="24" borderId="24" xfId="59" applyNumberFormat="1" applyFont="1" applyFill="1" applyBorder="1" applyAlignment="1" applyProtection="1">
      <alignment horizontal="left" vertical="center"/>
      <protection locked="0"/>
    </xf>
    <xf numFmtId="49" fontId="17" fillId="24" borderId="0" xfId="59" applyNumberFormat="1" applyFont="1" applyFill="1" applyBorder="1" applyAlignment="1" applyProtection="1">
      <alignment horizontal="left" vertical="center"/>
      <protection locked="0"/>
    </xf>
    <xf numFmtId="0" fontId="56" fillId="0" borderId="0" xfId="61" applyNumberFormat="1" applyFont="1" applyBorder="1" applyAlignment="1">
      <alignment horizontal="center" vertical="center" wrapText="1"/>
      <protection/>
    </xf>
    <xf numFmtId="1" fontId="39" fillId="0" borderId="0" xfId="61" applyNumberFormat="1" applyAlignment="1" applyProtection="1">
      <alignment vertical="center"/>
      <protection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64" fillId="24" borderId="0" xfId="0" applyFont="1" applyFill="1" applyBorder="1" applyAlignment="1">
      <alignment horizontal="center"/>
    </xf>
    <xf numFmtId="0" fontId="65" fillId="24" borderId="0" xfId="0" applyFont="1" applyFill="1" applyBorder="1" applyAlignment="1">
      <alignment horizontal="center"/>
    </xf>
    <xf numFmtId="198" fontId="0" fillId="24" borderId="0" xfId="0" applyNumberFormat="1" applyFill="1" applyAlignment="1">
      <alignment/>
    </xf>
    <xf numFmtId="0" fontId="66" fillId="24" borderId="0" xfId="0" applyFont="1" applyFill="1" applyAlignment="1">
      <alignment/>
    </xf>
    <xf numFmtId="198" fontId="0" fillId="24" borderId="0" xfId="0" applyNumberFormat="1" applyFill="1" applyBorder="1" applyAlignment="1">
      <alignment/>
    </xf>
    <xf numFmtId="0" fontId="67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/>
    </xf>
    <xf numFmtId="0" fontId="61" fillId="24" borderId="0" xfId="0" applyFont="1" applyFill="1" applyAlignment="1">
      <alignment/>
    </xf>
    <xf numFmtId="0" fontId="25" fillId="24" borderId="34" xfId="0" applyFont="1" applyFill="1" applyBorder="1" applyAlignment="1">
      <alignment horizontal="center" wrapText="1"/>
    </xf>
    <xf numFmtId="0" fontId="25" fillId="24" borderId="34" xfId="0" applyFont="1" applyFill="1" applyBorder="1" applyAlignment="1">
      <alignment horizontal="center"/>
    </xf>
    <xf numFmtId="0" fontId="25" fillId="24" borderId="82" xfId="0" applyFont="1" applyFill="1" applyBorder="1" applyAlignment="1">
      <alignment horizontal="center" wrapText="1"/>
    </xf>
    <xf numFmtId="0" fontId="25" fillId="24" borderId="78" xfId="0" applyFont="1" applyFill="1" applyBorder="1" applyAlignment="1">
      <alignment horizontal="center"/>
    </xf>
    <xf numFmtId="0" fontId="7" fillId="24" borderId="44" xfId="0" applyFont="1" applyFill="1" applyBorder="1" applyAlignment="1">
      <alignment horizontal="left"/>
    </xf>
    <xf numFmtId="0" fontId="25" fillId="24" borderId="58" xfId="0" applyFont="1" applyFill="1" applyBorder="1" applyAlignment="1">
      <alignment horizontal="right"/>
    </xf>
    <xf numFmtId="173" fontId="8" fillId="0" borderId="0" xfId="61" applyFont="1" applyFill="1" applyBorder="1" applyAlignment="1" applyProtection="1">
      <alignment horizontal="center" vertical="center"/>
      <protection/>
    </xf>
    <xf numFmtId="3" fontId="0" fillId="0" borderId="112" xfId="0" applyNumberFormat="1" applyBorder="1" applyAlignment="1" applyProtection="1">
      <alignment/>
      <protection locked="0"/>
    </xf>
    <xf numFmtId="3" fontId="0" fillId="0" borderId="70" xfId="0" applyNumberFormat="1" applyBorder="1" applyAlignment="1" applyProtection="1">
      <alignment/>
      <protection locked="0"/>
    </xf>
    <xf numFmtId="0" fontId="8" fillId="24" borderId="0" xfId="0" applyFont="1" applyFill="1" applyAlignment="1" applyProtection="1">
      <alignment horizontal="center" vertical="top"/>
      <protection/>
    </xf>
    <xf numFmtId="198" fontId="17" fillId="0" borderId="0" xfId="61" applyNumberFormat="1" applyFont="1" applyAlignment="1" applyProtection="1">
      <alignment vertical="center"/>
      <protection/>
    </xf>
    <xf numFmtId="1" fontId="0" fillId="24" borderId="0" xfId="0" applyNumberFormat="1" applyFill="1" applyBorder="1" applyAlignment="1" applyProtection="1">
      <alignment/>
      <protection/>
    </xf>
    <xf numFmtId="173" fontId="39" fillId="24" borderId="0" xfId="61" applyFill="1" applyAlignment="1" applyProtection="1">
      <alignment vertical="center"/>
      <protection/>
    </xf>
    <xf numFmtId="0" fontId="17" fillId="24" borderId="0" xfId="62" applyFill="1" applyAlignment="1" applyProtection="1">
      <alignment vertical="center"/>
      <protection/>
    </xf>
    <xf numFmtId="1" fontId="17" fillId="22" borderId="34" xfId="61" applyNumberFormat="1" applyFont="1" applyFill="1" applyBorder="1" applyAlignment="1" applyProtection="1">
      <alignment vertical="center"/>
      <protection locked="0"/>
    </xf>
    <xf numFmtId="173" fontId="39" fillId="0" borderId="0" xfId="61" applyBorder="1" applyAlignment="1" applyProtection="1">
      <alignment vertical="center"/>
      <protection/>
    </xf>
    <xf numFmtId="3" fontId="7" fillId="24" borderId="34" xfId="0" applyNumberFormat="1" applyFont="1" applyFill="1" applyBorder="1" applyAlignment="1" applyProtection="1">
      <alignment/>
      <protection locked="0"/>
    </xf>
    <xf numFmtId="3" fontId="7" fillId="24" borderId="82" xfId="0" applyNumberFormat="1" applyFont="1" applyFill="1" applyBorder="1" applyAlignment="1" applyProtection="1">
      <alignment/>
      <protection locked="0"/>
    </xf>
    <xf numFmtId="3" fontId="7" fillId="24" borderId="78" xfId="0" applyNumberFormat="1" applyFont="1" applyFill="1" applyBorder="1" applyAlignment="1" applyProtection="1">
      <alignment/>
      <protection locked="0"/>
    </xf>
    <xf numFmtId="200" fontId="7" fillId="24" borderId="66" xfId="0" applyNumberFormat="1" applyFont="1" applyFill="1" applyBorder="1" applyAlignment="1">
      <alignment horizontal="right"/>
    </xf>
    <xf numFmtId="200" fontId="7" fillId="24" borderId="51" xfId="0" applyNumberFormat="1" applyFont="1" applyFill="1" applyBorder="1" applyAlignment="1">
      <alignment horizontal="right"/>
    </xf>
    <xf numFmtId="200" fontId="7" fillId="24" borderId="48" xfId="0" applyNumberFormat="1" applyFont="1" applyFill="1" applyBorder="1" applyAlignment="1">
      <alignment horizontal="right"/>
    </xf>
    <xf numFmtId="3" fontId="6" fillId="0" borderId="80" xfId="64" applyNumberFormat="1" applyFont="1" applyFill="1" applyBorder="1" applyProtection="1">
      <alignment/>
      <protection locked="0"/>
    </xf>
    <xf numFmtId="3" fontId="0" fillId="0" borderId="88" xfId="0" applyNumberFormat="1" applyBorder="1" applyAlignment="1" applyProtection="1">
      <alignment/>
      <protection locked="0"/>
    </xf>
    <xf numFmtId="3" fontId="6" fillId="0" borderId="48" xfId="64" applyNumberFormat="1" applyFont="1" applyFill="1" applyBorder="1" applyProtection="1">
      <alignment/>
      <protection locked="0"/>
    </xf>
    <xf numFmtId="3" fontId="0" fillId="0" borderId="82" xfId="0" applyNumberFormat="1" applyBorder="1" applyAlignment="1" applyProtection="1">
      <alignment/>
      <protection locked="0"/>
    </xf>
    <xf numFmtId="200" fontId="0" fillId="0" borderId="107" xfId="0" applyNumberForma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9" fillId="0" borderId="34" xfId="0" applyFont="1" applyFill="1" applyBorder="1" applyAlignment="1" applyProtection="1">
      <alignment horizontal="center" vertical="center"/>
      <protection/>
    </xf>
    <xf numFmtId="0" fontId="9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9" fillId="0" borderId="34" xfId="0" applyFont="1" applyFill="1" applyBorder="1" applyAlignment="1" applyProtection="1">
      <alignment horizontal="center" vertical="center" wrapText="1"/>
      <protection/>
    </xf>
    <xf numFmtId="0" fontId="23" fillId="0" borderId="34" xfId="0" applyFont="1" applyFill="1" applyBorder="1" applyAlignment="1" applyProtection="1">
      <alignment horizontal="center" vertical="center" wrapText="1"/>
      <protection/>
    </xf>
    <xf numFmtId="0" fontId="21" fillId="0" borderId="34" xfId="0" applyFont="1" applyFill="1" applyBorder="1" applyAlignment="1" applyProtection="1">
      <alignment horizontal="center" vertical="center" wrapText="1"/>
      <protection/>
    </xf>
    <xf numFmtId="0" fontId="88" fillId="0" borderId="34" xfId="0" applyFont="1" applyFill="1" applyBorder="1" applyAlignment="1" applyProtection="1">
      <alignment horizontal="center" vertical="center" wrapText="1"/>
      <protection/>
    </xf>
    <xf numFmtId="207" fontId="6" fillId="0" borderId="34" xfId="0" applyNumberFormat="1" applyFont="1" applyFill="1" applyBorder="1" applyAlignment="1" applyProtection="1">
      <alignment horizontal="center"/>
      <protection/>
    </xf>
    <xf numFmtId="207" fontId="6" fillId="0" borderId="34" xfId="47" applyNumberFormat="1" applyFont="1" applyBorder="1" applyAlignment="1">
      <alignment/>
    </xf>
    <xf numFmtId="206" fontId="6" fillId="0" borderId="34" xfId="0" applyNumberFormat="1" applyFont="1" applyBorder="1" applyAlignment="1">
      <alignment/>
    </xf>
    <xf numFmtId="206" fontId="9" fillId="0" borderId="34" xfId="0" applyNumberFormat="1" applyFont="1" applyBorder="1" applyAlignment="1">
      <alignment/>
    </xf>
    <xf numFmtId="206" fontId="89" fillId="0" borderId="34" xfId="0" applyNumberFormat="1" applyFont="1" applyBorder="1" applyAlignment="1">
      <alignment/>
    </xf>
    <xf numFmtId="0" fontId="19" fillId="0" borderId="137" xfId="68" applyFont="1" applyFill="1" applyBorder="1" applyAlignment="1" applyProtection="1">
      <alignment horizontal="centerContinuous" vertical="center"/>
      <protection/>
    </xf>
    <xf numFmtId="3" fontId="6" fillId="0" borderId="54" xfId="68" applyNumberFormat="1" applyFont="1" applyFill="1" applyBorder="1" applyProtection="1">
      <alignment/>
      <protection locked="0"/>
    </xf>
    <xf numFmtId="3" fontId="6" fillId="0" borderId="138" xfId="68" applyNumberFormat="1" applyFont="1" applyFill="1" applyBorder="1" applyProtection="1">
      <alignment/>
      <protection locked="0"/>
    </xf>
    <xf numFmtId="200" fontId="6" fillId="24" borderId="125" xfId="68" applyNumberFormat="1" applyFont="1" applyFill="1" applyBorder="1">
      <alignment/>
      <protection/>
    </xf>
    <xf numFmtId="0" fontId="19" fillId="0" borderId="139" xfId="68" applyFont="1" applyFill="1" applyBorder="1" applyAlignment="1" applyProtection="1">
      <alignment horizontal="centerContinuous" vertical="center"/>
      <protection/>
    </xf>
    <xf numFmtId="0" fontId="20" fillId="0" borderId="32" xfId="68" applyFont="1" applyFill="1" applyBorder="1" applyAlignment="1" applyProtection="1">
      <alignment horizontal="center"/>
      <protection/>
    </xf>
    <xf numFmtId="3" fontId="6" fillId="0" borderId="36" xfId="68" applyNumberFormat="1" applyFont="1" applyFill="1" applyBorder="1" applyProtection="1">
      <alignment/>
      <protection locked="0"/>
    </xf>
    <xf numFmtId="3" fontId="6" fillId="0" borderId="113" xfId="68" applyNumberFormat="1" applyFont="1" applyFill="1" applyBorder="1" applyProtection="1">
      <alignment/>
      <protection locked="0"/>
    </xf>
    <xf numFmtId="200" fontId="6" fillId="24" borderId="50" xfId="68" applyNumberFormat="1" applyFont="1" applyFill="1" applyBorder="1">
      <alignment/>
      <protection/>
    </xf>
    <xf numFmtId="3" fontId="6" fillId="0" borderId="140" xfId="68" applyNumberFormat="1" applyFont="1" applyFill="1" applyBorder="1" applyProtection="1">
      <alignment/>
      <protection locked="0"/>
    </xf>
    <xf numFmtId="0" fontId="20" fillId="0" borderId="141" xfId="68" applyFont="1" applyFill="1" applyBorder="1" applyAlignment="1" applyProtection="1">
      <alignment horizontal="center"/>
      <protection/>
    </xf>
    <xf numFmtId="200" fontId="6" fillId="24" borderId="130" xfId="68" applyNumberFormat="1" applyFont="1" applyFill="1" applyBorder="1">
      <alignment/>
      <protection/>
    </xf>
    <xf numFmtId="200" fontId="6" fillId="24" borderId="142" xfId="68" applyNumberFormat="1" applyFont="1" applyFill="1" applyBorder="1">
      <alignment/>
      <protection/>
    </xf>
    <xf numFmtId="0" fontId="14" fillId="0" borderId="23" xfId="63" applyFont="1" applyFill="1" applyBorder="1" applyAlignment="1" applyProtection="1">
      <alignment horizontal="center" vertical="center"/>
      <protection/>
    </xf>
    <xf numFmtId="0" fontId="14" fillId="0" borderId="23" xfId="64" applyFont="1" applyFill="1" applyBorder="1" applyAlignment="1" applyProtection="1">
      <alignment horizontal="center" vertical="center"/>
      <protection/>
    </xf>
    <xf numFmtId="0" fontId="20" fillId="0" borderId="84" xfId="63" applyFont="1" applyFill="1" applyBorder="1" applyAlignment="1" applyProtection="1">
      <alignment horizontal="center"/>
      <protection/>
    </xf>
    <xf numFmtId="0" fontId="20" fillId="0" borderId="143" xfId="63" applyFont="1" applyFill="1" applyBorder="1" applyAlignment="1" applyProtection="1">
      <alignment horizontal="center"/>
      <protection/>
    </xf>
    <xf numFmtId="0" fontId="20" fillId="0" borderId="144" xfId="63" applyFont="1" applyFill="1" applyBorder="1" applyAlignment="1" applyProtection="1">
      <alignment horizontal="center"/>
      <protection/>
    </xf>
    <xf numFmtId="0" fontId="20" fillId="0" borderId="84" xfId="64" applyFont="1" applyFill="1" applyBorder="1" applyAlignment="1" applyProtection="1">
      <alignment horizontal="center"/>
      <protection/>
    </xf>
    <xf numFmtId="0" fontId="20" fillId="0" borderId="143" xfId="64" applyFont="1" applyFill="1" applyBorder="1" applyAlignment="1" applyProtection="1">
      <alignment horizontal="center"/>
      <protection/>
    </xf>
    <xf numFmtId="0" fontId="20" fillId="0" borderId="144" xfId="64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8" fillId="0" borderId="0" xfId="0" applyFont="1" applyFill="1" applyAlignment="1" applyProtection="1">
      <alignment horizontal="center" vertical="top"/>
      <protection/>
    </xf>
    <xf numFmtId="173" fontId="13" fillId="0" borderId="0" xfId="61" applyFont="1" applyFill="1" applyAlignment="1" applyProtection="1">
      <alignment vertical="center" wrapText="1"/>
      <protection/>
    </xf>
    <xf numFmtId="3" fontId="0" fillId="0" borderId="106" xfId="0" applyNumberFormat="1" applyFill="1" applyBorder="1" applyAlignment="1" applyProtection="1">
      <alignment/>
      <protection locked="0"/>
    </xf>
    <xf numFmtId="200" fontId="9" fillId="0" borderId="145" xfId="0" applyNumberFormat="1" applyFont="1" applyFill="1" applyBorder="1" applyAlignment="1" applyProtection="1">
      <alignment vertical="center"/>
      <protection/>
    </xf>
    <xf numFmtId="0" fontId="8" fillId="0" borderId="146" xfId="0" applyFont="1" applyFill="1" applyBorder="1" applyAlignment="1" applyProtection="1">
      <alignment/>
      <protection/>
    </xf>
    <xf numFmtId="3" fontId="0" fillId="0" borderId="106" xfId="0" applyNumberFormat="1" applyBorder="1" applyAlignment="1" applyProtection="1">
      <alignment/>
      <protection locked="0"/>
    </xf>
    <xf numFmtId="3" fontId="0" fillId="0" borderId="40" xfId="0" applyNumberForma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9" fillId="0" borderId="117" xfId="0" applyFont="1" applyFill="1" applyBorder="1" applyAlignment="1" applyProtection="1">
      <alignment horizontal="center" vertical="center" wrapText="1"/>
      <protection/>
    </xf>
    <xf numFmtId="0" fontId="19" fillId="0" borderId="117" xfId="0" applyFont="1" applyFill="1" applyBorder="1" applyAlignment="1">
      <alignment horizontal="center" vertical="center" wrapText="1"/>
    </xf>
    <xf numFmtId="49" fontId="17" fillId="22" borderId="44" xfId="61" applyNumberFormat="1" applyFont="1" applyFill="1" applyBorder="1" applyAlignment="1" applyProtection="1">
      <alignment horizontal="left" vertical="center"/>
      <protection locked="0"/>
    </xf>
    <xf numFmtId="49" fontId="17" fillId="22" borderId="34" xfId="61" applyNumberFormat="1" applyFont="1" applyFill="1" applyBorder="1" applyAlignment="1" applyProtection="1">
      <alignment horizontal="left" vertical="center"/>
      <protection locked="0"/>
    </xf>
    <xf numFmtId="49" fontId="17" fillId="22" borderId="51" xfId="59" applyNumberFormat="1" applyFont="1" applyFill="1" applyBorder="1" applyAlignment="1" applyProtection="1">
      <alignment horizontal="left" vertical="center"/>
      <protection locked="0"/>
    </xf>
    <xf numFmtId="49" fontId="17" fillId="22" borderId="44" xfId="0" applyNumberFormat="1" applyFont="1" applyFill="1" applyBorder="1" applyAlignment="1" applyProtection="1">
      <alignment horizontal="left" vertical="center"/>
      <protection locked="0"/>
    </xf>
    <xf numFmtId="49" fontId="17" fillId="22" borderId="34" xfId="59" applyNumberFormat="1" applyFont="1" applyFill="1" applyBorder="1" applyAlignment="1" applyProtection="1">
      <alignment horizontal="left" vertical="center"/>
      <protection locked="0"/>
    </xf>
    <xf numFmtId="49" fontId="11" fillId="22" borderId="59" xfId="36" applyNumberFormat="1" applyFill="1" applyBorder="1" applyAlignment="1" applyProtection="1">
      <alignment horizontal="left" vertical="center"/>
      <protection locked="0"/>
    </xf>
    <xf numFmtId="49" fontId="17" fillId="22" borderId="34" xfId="0" applyNumberFormat="1" applyFont="1" applyFill="1" applyBorder="1" applyAlignment="1" applyProtection="1">
      <alignment horizontal="left"/>
      <protection locked="0"/>
    </xf>
    <xf numFmtId="0" fontId="92" fillId="0" borderId="147" xfId="0" applyFont="1" applyFill="1" applyBorder="1" applyAlignment="1" applyProtection="1">
      <alignment horizontal="right"/>
      <protection/>
    </xf>
    <xf numFmtId="0" fontId="6" fillId="0" borderId="108" xfId="68" applyFont="1" applyFill="1" applyBorder="1" applyAlignment="1" applyProtection="1">
      <alignment horizontal="center"/>
      <protection/>
    </xf>
    <xf numFmtId="0" fontId="15" fillId="0" borderId="34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>
      <alignment horizontal="centerContinuous" vertical="center" wrapText="1"/>
    </xf>
    <xf numFmtId="0" fontId="31" fillId="0" borderId="34" xfId="0" applyFont="1" applyBorder="1" applyAlignment="1">
      <alignment/>
    </xf>
    <xf numFmtId="0" fontId="127" fillId="0" borderId="34" xfId="0" applyFont="1" applyBorder="1" applyAlignment="1">
      <alignment/>
    </xf>
    <xf numFmtId="0" fontId="23" fillId="0" borderId="49" xfId="0" applyFont="1" applyBorder="1" applyAlignment="1">
      <alignment/>
    </xf>
    <xf numFmtId="0" fontId="14" fillId="0" borderId="98" xfId="0" applyFont="1" applyBorder="1" applyAlignment="1">
      <alignment horizontal="center" vertical="center" wrapText="1"/>
    </xf>
    <xf numFmtId="0" fontId="14" fillId="0" borderId="148" xfId="0" applyFont="1" applyBorder="1" applyAlignment="1">
      <alignment horizontal="center" vertical="center" wrapText="1"/>
    </xf>
    <xf numFmtId="0" fontId="14" fillId="0" borderId="149" xfId="0" applyFont="1" applyBorder="1" applyAlignment="1">
      <alignment horizontal="center" vertical="center" wrapText="1"/>
    </xf>
    <xf numFmtId="0" fontId="14" fillId="0" borderId="150" xfId="0" applyFont="1" applyBorder="1" applyAlignment="1">
      <alignment horizontal="center" vertical="center" wrapText="1"/>
    </xf>
    <xf numFmtId="0" fontId="23" fillId="0" borderId="151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6" fillId="0" borderId="39" xfId="0" applyFont="1" applyFill="1" applyBorder="1" applyAlignment="1" applyProtection="1">
      <alignment horizontal="justify" wrapText="1"/>
      <protection/>
    </xf>
    <xf numFmtId="0" fontId="6" fillId="0" borderId="49" xfId="0" applyFont="1" applyFill="1" applyBorder="1" applyAlignment="1" applyProtection="1">
      <alignment horizontal="justify" wrapText="1"/>
      <protection/>
    </xf>
    <xf numFmtId="0" fontId="0" fillId="0" borderId="0" xfId="0" applyNumberFormat="1" applyAlignment="1">
      <alignment/>
    </xf>
    <xf numFmtId="0" fontId="6" fillId="0" borderId="60" xfId="0" applyFont="1" applyFill="1" applyBorder="1" applyAlignment="1" applyProtection="1">
      <alignment horizontal="justify" wrapText="1"/>
      <protection/>
    </xf>
    <xf numFmtId="173" fontId="13" fillId="0" borderId="0" xfId="61" applyFont="1" applyFill="1" applyAlignment="1" applyProtection="1">
      <alignment horizontal="left" vertical="center"/>
      <protection/>
    </xf>
    <xf numFmtId="173" fontId="22" fillId="0" borderId="0" xfId="61" applyFont="1" applyAlignment="1" applyProtection="1">
      <alignment vertical="center" wrapText="1"/>
      <protection/>
    </xf>
    <xf numFmtId="173" fontId="22" fillId="0" borderId="135" xfId="61" applyFont="1" applyBorder="1" applyAlignment="1" applyProtection="1">
      <alignment vertical="center" wrapText="1"/>
      <protection/>
    </xf>
    <xf numFmtId="0" fontId="13" fillId="0" borderId="0" xfId="60" applyFont="1" applyAlignment="1" applyProtection="1">
      <alignment vertical="center"/>
      <protection/>
    </xf>
    <xf numFmtId="173" fontId="13" fillId="0" borderId="0" xfId="61" applyFont="1" applyAlignment="1" applyProtection="1">
      <alignment vertical="center"/>
      <protection/>
    </xf>
    <xf numFmtId="173" fontId="13" fillId="0" borderId="0" xfId="61" applyFont="1" applyAlignment="1" applyProtection="1">
      <alignment horizontal="right" vertical="center"/>
      <protection/>
    </xf>
    <xf numFmtId="173" fontId="13" fillId="0" borderId="0" xfId="61" applyFont="1" applyFill="1" applyBorder="1" applyAlignment="1" applyProtection="1">
      <alignment horizontal="right" vertical="center"/>
      <protection/>
    </xf>
    <xf numFmtId="173" fontId="85" fillId="0" borderId="0" xfId="61" applyFont="1" applyFill="1" applyAlignment="1" applyProtection="1">
      <alignment horizontal="left" vertical="center"/>
      <protection/>
    </xf>
    <xf numFmtId="173" fontId="85" fillId="0" borderId="0" xfId="61" applyFont="1" applyAlignment="1" applyProtection="1">
      <alignment horizontal="right" vertical="center"/>
      <protection/>
    </xf>
    <xf numFmtId="173" fontId="85" fillId="0" borderId="0" xfId="61" applyFont="1" applyFill="1" applyBorder="1" applyAlignment="1" applyProtection="1">
      <alignment horizontal="right" vertical="center"/>
      <protection/>
    </xf>
    <xf numFmtId="173" fontId="85" fillId="0" borderId="0" xfId="61" applyFont="1" applyFill="1" applyBorder="1" applyAlignment="1" applyProtection="1">
      <alignment vertical="center"/>
      <protection/>
    </xf>
    <xf numFmtId="0" fontId="6" fillId="0" borderId="79" xfId="0" applyFont="1" applyFill="1" applyBorder="1" applyAlignment="1">
      <alignment horizontal="centerContinuous" vertical="center"/>
    </xf>
    <xf numFmtId="0" fontId="6" fillId="0" borderId="87" xfId="0" applyFont="1" applyFill="1" applyBorder="1" applyAlignment="1">
      <alignment horizontal="centerContinuous" vertical="center"/>
    </xf>
    <xf numFmtId="1" fontId="17" fillId="16" borderId="34" xfId="61" applyNumberFormat="1" applyFont="1" applyFill="1" applyBorder="1" applyAlignment="1" applyProtection="1">
      <alignment vertical="center"/>
      <protection/>
    </xf>
    <xf numFmtId="173" fontId="57" fillId="0" borderId="79" xfId="61" applyFont="1" applyBorder="1" applyAlignment="1" applyProtection="1">
      <alignment vertical="center" wrapText="1"/>
      <protection/>
    </xf>
    <xf numFmtId="173" fontId="94" fillId="0" borderId="79" xfId="61" applyFont="1" applyBorder="1" applyAlignment="1" applyProtection="1">
      <alignment vertical="center" wrapText="1"/>
      <protection/>
    </xf>
    <xf numFmtId="0" fontId="14" fillId="0" borderId="61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wrapText="1"/>
    </xf>
    <xf numFmtId="0" fontId="9" fillId="0" borderId="106" xfId="0" applyFont="1" applyBorder="1" applyAlignment="1">
      <alignment horizontal="center" wrapText="1"/>
    </xf>
    <xf numFmtId="0" fontId="9" fillId="0" borderId="145" xfId="0" applyFont="1" applyBorder="1" applyAlignment="1">
      <alignment horizontal="center" wrapText="1"/>
    </xf>
    <xf numFmtId="173" fontId="94" fillId="0" borderId="137" xfId="61" applyFont="1" applyBorder="1" applyAlignment="1" applyProtection="1">
      <alignment vertical="center" wrapText="1"/>
      <protection/>
    </xf>
    <xf numFmtId="3" fontId="6" fillId="0" borderId="88" xfId="64" applyNumberFormat="1" applyFont="1" applyFill="1" applyBorder="1" applyAlignment="1" applyProtection="1">
      <alignment/>
      <protection locked="0"/>
    </xf>
    <xf numFmtId="3" fontId="6" fillId="0" borderId="80" xfId="64" applyNumberFormat="1" applyFont="1" applyFill="1" applyBorder="1" applyAlignment="1" applyProtection="1">
      <alignment/>
      <protection locked="0"/>
    </xf>
    <xf numFmtId="3" fontId="6" fillId="0" borderId="126" xfId="64" applyNumberFormat="1" applyFont="1" applyFill="1" applyBorder="1" applyAlignment="1" applyProtection="1">
      <alignment/>
      <protection locked="0"/>
    </xf>
    <xf numFmtId="3" fontId="6" fillId="0" borderId="101" xfId="64" applyNumberFormat="1" applyFont="1" applyFill="1" applyBorder="1" applyAlignment="1" applyProtection="1">
      <alignment/>
      <protection locked="0"/>
    </xf>
    <xf numFmtId="3" fontId="6" fillId="0" borderId="82" xfId="64" applyNumberFormat="1" applyFont="1" applyFill="1" applyBorder="1" applyAlignment="1" applyProtection="1">
      <alignment/>
      <protection locked="0"/>
    </xf>
    <xf numFmtId="3" fontId="6" fillId="0" borderId="78" xfId="64" applyNumberFormat="1" applyFont="1" applyFill="1" applyBorder="1" applyAlignment="1" applyProtection="1">
      <alignment/>
      <protection locked="0"/>
    </xf>
    <xf numFmtId="3" fontId="6" fillId="0" borderId="138" xfId="64" applyNumberFormat="1" applyFont="1" applyFill="1" applyBorder="1" applyAlignment="1" applyProtection="1">
      <alignment/>
      <protection locked="0"/>
    </xf>
    <xf numFmtId="3" fontId="6" fillId="0" borderId="59" xfId="64" applyNumberFormat="1" applyFont="1" applyFill="1" applyBorder="1" applyAlignment="1" applyProtection="1">
      <alignment/>
      <protection locked="0"/>
    </xf>
    <xf numFmtId="3" fontId="6" fillId="0" borderId="88" xfId="0" applyNumberFormat="1" applyFont="1" applyBorder="1" applyAlignment="1" applyProtection="1">
      <alignment/>
      <protection locked="0"/>
    </xf>
    <xf numFmtId="3" fontId="6" fillId="0" borderId="80" xfId="0" applyNumberFormat="1" applyFont="1" applyFill="1" applyBorder="1" applyAlignment="1" applyProtection="1">
      <alignment/>
      <protection locked="0"/>
    </xf>
    <xf numFmtId="3" fontId="6" fillId="0" borderId="66" xfId="0" applyNumberFormat="1" applyFont="1" applyBorder="1" applyAlignment="1" applyProtection="1">
      <alignment/>
      <protection locked="0"/>
    </xf>
    <xf numFmtId="3" fontId="6" fillId="0" borderId="141" xfId="0" applyNumberFormat="1" applyFont="1" applyBorder="1" applyAlignment="1" applyProtection="1">
      <alignment/>
      <protection locked="0"/>
    </xf>
    <xf numFmtId="3" fontId="6" fillId="0" borderId="95" xfId="0" applyNumberFormat="1" applyFont="1" applyFill="1" applyBorder="1" applyAlignment="1" applyProtection="1">
      <alignment/>
      <protection locked="0"/>
    </xf>
    <xf numFmtId="3" fontId="6" fillId="0" borderId="82" xfId="0" applyNumberFormat="1" applyFont="1" applyBorder="1" applyAlignment="1" applyProtection="1">
      <alignment/>
      <protection locked="0"/>
    </xf>
    <xf numFmtId="3" fontId="6" fillId="0" borderId="34" xfId="0" applyNumberFormat="1" applyFont="1" applyBorder="1" applyAlignment="1">
      <alignment horizontal="center"/>
    </xf>
    <xf numFmtId="3" fontId="6" fillId="0" borderId="56" xfId="0" applyNumberFormat="1" applyFont="1" applyBorder="1" applyAlignment="1">
      <alignment horizontal="center"/>
    </xf>
    <xf numFmtId="3" fontId="6" fillId="0" borderId="34" xfId="47" applyNumberFormat="1" applyFont="1" applyBorder="1" applyAlignment="1">
      <alignment/>
    </xf>
    <xf numFmtId="0" fontId="128" fillId="0" borderId="0" xfId="0" applyFont="1" applyAlignment="1" applyProtection="1">
      <alignment horizontal="left" vertical="top"/>
      <protection/>
    </xf>
    <xf numFmtId="0" fontId="9" fillId="0" borderId="51" xfId="0" applyFont="1" applyBorder="1" applyAlignment="1">
      <alignment horizontal="center"/>
    </xf>
    <xf numFmtId="0" fontId="6" fillId="0" borderId="51" xfId="0" applyFont="1" applyFill="1" applyBorder="1" applyAlignment="1" applyProtection="1">
      <alignment horizontal="left"/>
      <protection/>
    </xf>
    <xf numFmtId="0" fontId="9" fillId="0" borderId="51" xfId="0" applyFont="1" applyFill="1" applyBorder="1" applyAlignment="1" applyProtection="1">
      <alignment horizontal="left"/>
      <protection/>
    </xf>
    <xf numFmtId="0" fontId="9" fillId="0" borderId="34" xfId="0" applyFont="1" applyFill="1" applyBorder="1" applyAlignment="1" applyProtection="1">
      <alignment horizontal="left"/>
      <protection/>
    </xf>
    <xf numFmtId="173" fontId="49" fillId="24" borderId="0" xfId="61" applyFont="1" applyFill="1" applyAlignment="1" applyProtection="1">
      <alignment vertical="center"/>
      <protection/>
    </xf>
    <xf numFmtId="38" fontId="6" fillId="16" borderId="82" xfId="47" applyNumberFormat="1" applyFont="1" applyFill="1" applyBorder="1" applyAlignment="1" applyProtection="1">
      <alignment vertical="center"/>
      <protection/>
    </xf>
    <xf numFmtId="38" fontId="6" fillId="16" borderId="78" xfId="47" applyNumberFormat="1" applyFont="1" applyFill="1" applyBorder="1" applyAlignment="1" applyProtection="1">
      <alignment vertical="center"/>
      <protection/>
    </xf>
    <xf numFmtId="38" fontId="6" fillId="16" borderId="84" xfId="47" applyNumberFormat="1" applyFont="1" applyFill="1" applyBorder="1" applyAlignment="1" applyProtection="1">
      <alignment vertical="center"/>
      <protection/>
    </xf>
    <xf numFmtId="38" fontId="6" fillId="16" borderId="143" xfId="47" applyNumberFormat="1" applyFont="1" applyFill="1" applyBorder="1" applyAlignment="1" applyProtection="1">
      <alignment vertical="center"/>
      <protection/>
    </xf>
    <xf numFmtId="3" fontId="6" fillId="25" borderId="34" xfId="0" applyNumberFormat="1" applyFont="1" applyFill="1" applyBorder="1" applyAlignment="1">
      <alignment/>
    </xf>
    <xf numFmtId="0" fontId="6" fillId="25" borderId="34" xfId="0" applyFont="1" applyFill="1" applyBorder="1" applyAlignment="1">
      <alignment horizontal="center"/>
    </xf>
    <xf numFmtId="3" fontId="0" fillId="0" borderId="71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3" fontId="0" fillId="0" borderId="106" xfId="0" applyNumberFormat="1" applyFont="1" applyFill="1" applyBorder="1" applyAlignment="1" applyProtection="1">
      <alignment/>
      <protection locked="0"/>
    </xf>
    <xf numFmtId="0" fontId="6" fillId="0" borderId="146" xfId="0" applyFont="1" applyFill="1" applyBorder="1" applyAlignment="1" applyProtection="1">
      <alignment/>
      <protection/>
    </xf>
    <xf numFmtId="0" fontId="6" fillId="0" borderId="0" xfId="59" applyFont="1" applyAlignment="1" applyProtection="1">
      <alignment vertical="center"/>
      <protection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6" fillId="26" borderId="37" xfId="0" applyFont="1" applyFill="1" applyBorder="1" applyAlignment="1">
      <alignment/>
    </xf>
    <xf numFmtId="0" fontId="6" fillId="26" borderId="35" xfId="0" applyFont="1" applyFill="1" applyBorder="1" applyAlignment="1">
      <alignment/>
    </xf>
    <xf numFmtId="0" fontId="9" fillId="26" borderId="152" xfId="0" applyFont="1" applyFill="1" applyBorder="1" applyAlignment="1">
      <alignment horizontal="centerContinuous" vertical="center" wrapText="1"/>
    </xf>
    <xf numFmtId="0" fontId="9" fillId="26" borderId="43" xfId="0" applyFont="1" applyFill="1" applyBorder="1" applyAlignment="1" applyProtection="1">
      <alignment horizontal="centerContinuous" vertical="center" wrapText="1"/>
      <protection/>
    </xf>
    <xf numFmtId="0" fontId="20" fillId="0" borderId="0" xfId="0" applyFont="1" applyAlignment="1">
      <alignment horizontal="center" vertical="top"/>
    </xf>
    <xf numFmtId="0" fontId="20" fillId="26" borderId="23" xfId="0" applyFont="1" applyFill="1" applyBorder="1" applyAlignment="1" applyProtection="1">
      <alignment horizontal="center"/>
      <protection/>
    </xf>
    <xf numFmtId="0" fontId="20" fillId="26" borderId="40" xfId="0" applyFont="1" applyFill="1" applyBorder="1" applyAlignment="1" applyProtection="1">
      <alignment horizontal="center"/>
      <protection/>
    </xf>
    <xf numFmtId="0" fontId="129" fillId="0" borderId="0" xfId="0" applyFont="1" applyAlignment="1">
      <alignment horizontal="center" vertical="center"/>
    </xf>
    <xf numFmtId="200" fontId="6" fillId="26" borderId="120" xfId="0" applyNumberFormat="1" applyFont="1" applyFill="1" applyBorder="1" applyAlignment="1">
      <alignment/>
    </xf>
    <xf numFmtId="200" fontId="6" fillId="26" borderId="124" xfId="0" applyNumberFormat="1" applyFont="1" applyFill="1" applyBorder="1" applyAlignment="1">
      <alignment/>
    </xf>
    <xf numFmtId="200" fontId="6" fillId="26" borderId="49" xfId="0" applyNumberFormat="1" applyFont="1" applyFill="1" applyBorder="1" applyAlignment="1">
      <alignment/>
    </xf>
    <xf numFmtId="200" fontId="6" fillId="26" borderId="71" xfId="0" applyNumberFormat="1" applyFont="1" applyFill="1" applyBorder="1" applyAlignment="1">
      <alignment/>
    </xf>
    <xf numFmtId="200" fontId="6" fillId="26" borderId="151" xfId="0" applyNumberFormat="1" applyFont="1" applyFill="1" applyBorder="1" applyAlignment="1">
      <alignment/>
    </xf>
    <xf numFmtId="200" fontId="6" fillId="26" borderId="106" xfId="0" applyNumberFormat="1" applyFont="1" applyFill="1" applyBorder="1" applyAlignment="1">
      <alignment/>
    </xf>
    <xf numFmtId="200" fontId="6" fillId="26" borderId="73" xfId="0" applyNumberFormat="1" applyFont="1" applyFill="1" applyBorder="1" applyAlignment="1" applyProtection="1">
      <alignment/>
      <protection/>
    </xf>
    <xf numFmtId="200" fontId="6" fillId="26" borderId="75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wrapText="1"/>
    </xf>
    <xf numFmtId="0" fontId="17" fillId="0" borderId="120" xfId="0" applyFont="1" applyFill="1" applyBorder="1" applyAlignment="1" applyProtection="1">
      <alignment horizontal="left" vertical="center" wrapText="1"/>
      <protection/>
    </xf>
    <xf numFmtId="3" fontId="6" fillId="24" borderId="121" xfId="0" applyNumberFormat="1" applyFont="1" applyFill="1" applyBorder="1" applyAlignment="1">
      <alignment horizontal="center" vertical="center"/>
    </xf>
    <xf numFmtId="0" fontId="17" fillId="0" borderId="49" xfId="0" applyFont="1" applyFill="1" applyBorder="1" applyAlignment="1" applyProtection="1">
      <alignment horizontal="left" vertical="center" wrapText="1"/>
      <protection/>
    </xf>
    <xf numFmtId="3" fontId="6" fillId="24" borderId="34" xfId="0" applyNumberFormat="1" applyFont="1" applyFill="1" applyBorder="1" applyAlignment="1">
      <alignment horizontal="center" vertical="center"/>
    </xf>
    <xf numFmtId="0" fontId="17" fillId="0" borderId="60" xfId="0" applyFont="1" applyFill="1" applyBorder="1" applyAlignment="1" applyProtection="1">
      <alignment horizontal="left" vertical="center" wrapText="1"/>
      <protection/>
    </xf>
    <xf numFmtId="3" fontId="6" fillId="24" borderId="52" xfId="0" applyNumberFormat="1" applyFont="1" applyFill="1" applyBorder="1" applyAlignment="1">
      <alignment horizontal="center" vertical="center"/>
    </xf>
    <xf numFmtId="0" fontId="14" fillId="0" borderId="73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/>
    </xf>
    <xf numFmtId="3" fontId="6" fillId="0" borderId="51" xfId="0" applyNumberFormat="1" applyFont="1" applyBorder="1" applyAlignment="1">
      <alignment horizontal="center" vertical="center"/>
    </xf>
    <xf numFmtId="0" fontId="6" fillId="0" borderId="60" xfId="0" applyFont="1" applyFill="1" applyBorder="1" applyAlignment="1" applyProtection="1">
      <alignment horizontal="left" vertical="center" wrapText="1"/>
      <protection/>
    </xf>
    <xf numFmtId="3" fontId="6" fillId="0" borderId="52" xfId="0" applyNumberFormat="1" applyFont="1" applyBorder="1" applyAlignment="1">
      <alignment horizontal="center" vertical="center"/>
    </xf>
    <xf numFmtId="173" fontId="8" fillId="0" borderId="0" xfId="61" applyFont="1" applyAlignment="1" applyProtection="1">
      <alignment vertical="center"/>
      <protection/>
    </xf>
    <xf numFmtId="173" fontId="17" fillId="0" borderId="0" xfId="61" applyFont="1" applyAlignment="1" applyProtection="1">
      <alignment vertical="center"/>
      <protection/>
    </xf>
    <xf numFmtId="173" fontId="6" fillId="0" borderId="79" xfId="61" applyFont="1" applyBorder="1" applyAlignment="1" applyProtection="1">
      <alignment vertical="center"/>
      <protection/>
    </xf>
    <xf numFmtId="173" fontId="6" fillId="0" borderId="0" xfId="61" applyFont="1" applyAlignment="1" applyProtection="1">
      <alignment horizontal="left" vertical="center"/>
      <protection/>
    </xf>
    <xf numFmtId="49" fontId="17" fillId="0" borderId="34" xfId="0" applyNumberFormat="1" applyFont="1" applyFill="1" applyBorder="1" applyAlignment="1" applyProtection="1">
      <alignment horizontal="left"/>
      <protection locked="0"/>
    </xf>
    <xf numFmtId="173" fontId="17" fillId="0" borderId="0" xfId="61" applyFont="1" applyAlignment="1" applyProtection="1">
      <alignment horizontal="left" vertical="center"/>
      <protection/>
    </xf>
    <xf numFmtId="173" fontId="17" fillId="0" borderId="0" xfId="6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" fillId="27" borderId="73" xfId="0" applyFont="1" applyFill="1" applyBorder="1" applyAlignment="1" applyProtection="1">
      <alignment horizontal="center" vertical="center"/>
      <protection/>
    </xf>
    <xf numFmtId="0" fontId="9" fillId="27" borderId="74" xfId="0" applyFont="1" applyFill="1" applyBorder="1" applyAlignment="1" applyProtection="1">
      <alignment horizontal="center" vertical="center" wrapText="1"/>
      <protection/>
    </xf>
    <xf numFmtId="0" fontId="9" fillId="27" borderId="75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justify" wrapText="1"/>
      <protection/>
    </xf>
    <xf numFmtId="3" fontId="17" fillId="0" borderId="51" xfId="0" applyNumberFormat="1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7" fillId="0" borderId="34" xfId="0" applyNumberFormat="1" applyFont="1" applyFill="1" applyBorder="1" applyAlignment="1" applyProtection="1">
      <alignment vertical="center"/>
      <protection/>
    </xf>
    <xf numFmtId="4" fontId="6" fillId="0" borderId="49" xfId="0" applyNumberFormat="1" applyFont="1" applyFill="1" applyBorder="1" applyAlignment="1" applyProtection="1">
      <alignment horizontal="justify"/>
      <protection/>
    </xf>
    <xf numFmtId="3" fontId="17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6" fillId="0" borderId="49" xfId="0" applyFont="1" applyFill="1" applyBorder="1" applyAlignment="1" applyProtection="1">
      <alignment horizontal="justify"/>
      <protection/>
    </xf>
    <xf numFmtId="3" fontId="17" fillId="0" borderId="52" xfId="0" applyNumberFormat="1" applyFont="1" applyFill="1" applyBorder="1" applyAlignment="1" applyProtection="1">
      <alignment vertical="center"/>
      <protection/>
    </xf>
    <xf numFmtId="0" fontId="22" fillId="0" borderId="73" xfId="0" applyFont="1" applyFill="1" applyBorder="1" applyAlignment="1" applyProtection="1">
      <alignment horizontal="center" vertical="center" wrapText="1"/>
      <protection/>
    </xf>
    <xf numFmtId="3" fontId="22" fillId="0" borderId="74" xfId="0" applyNumberFormat="1" applyFont="1" applyFill="1" applyBorder="1" applyAlignment="1" applyProtection="1">
      <alignment vertical="center"/>
      <protection/>
    </xf>
    <xf numFmtId="0" fontId="13" fillId="27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121" xfId="0" applyBorder="1" applyAlignment="1" applyProtection="1">
      <alignment/>
      <protection/>
    </xf>
    <xf numFmtId="3" fontId="0" fillId="0" borderId="121" xfId="0" applyNumberFormat="1" applyBorder="1" applyAlignment="1" applyProtection="1">
      <alignment/>
      <protection/>
    </xf>
    <xf numFmtId="0" fontId="0" fillId="0" borderId="124" xfId="0" applyNumberFormat="1" applyBorder="1" applyAlignment="1" applyProtection="1">
      <alignment/>
      <protection/>
    </xf>
    <xf numFmtId="0" fontId="6" fillId="0" borderId="34" xfId="0" applyFont="1" applyFill="1" applyBorder="1" applyAlignment="1" applyProtection="1">
      <alignment horizontal="justify" vertical="center" wrapText="1"/>
      <protection/>
    </xf>
    <xf numFmtId="0" fontId="13" fillId="27" borderId="75" xfId="0" applyNumberFormat="1" applyFont="1" applyFill="1" applyBorder="1" applyAlignment="1" applyProtection="1">
      <alignment horizontal="center" vertical="center"/>
      <protection/>
    </xf>
    <xf numFmtId="0" fontId="95" fillId="0" borderId="0" xfId="0" applyFont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9" fillId="0" borderId="0" xfId="0" applyFont="1" applyAlignment="1">
      <alignment/>
    </xf>
    <xf numFmtId="0" fontId="130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30" xfId="64" applyFont="1" applyFill="1" applyBorder="1" applyAlignment="1">
      <alignment horizontal="center" vertical="center"/>
      <protection/>
    </xf>
    <xf numFmtId="3" fontId="6" fillId="0" borderId="126" xfId="64" applyNumberFormat="1" applyFont="1" applyFill="1" applyBorder="1" applyAlignment="1" applyProtection="1">
      <alignment/>
      <protection locked="0"/>
    </xf>
    <xf numFmtId="3" fontId="6" fillId="0" borderId="80" xfId="64" applyNumberFormat="1" applyFont="1" applyFill="1" applyBorder="1" applyAlignment="1" applyProtection="1">
      <alignment/>
      <protection locked="0"/>
    </xf>
    <xf numFmtId="3" fontId="6" fillId="0" borderId="138" xfId="64" applyNumberFormat="1" applyFont="1" applyFill="1" applyBorder="1" applyAlignment="1" applyProtection="1">
      <alignment/>
      <protection locked="0"/>
    </xf>
    <xf numFmtId="3" fontId="6" fillId="0" borderId="78" xfId="64" applyNumberFormat="1" applyFont="1" applyFill="1" applyBorder="1" applyAlignment="1" applyProtection="1">
      <alignment/>
      <protection locked="0"/>
    </xf>
    <xf numFmtId="200" fontId="6" fillId="24" borderId="114" xfId="64" applyNumberFormat="1" applyFont="1" applyFill="1" applyBorder="1" applyAlignment="1">
      <alignment/>
      <protection/>
    </xf>
    <xf numFmtId="200" fontId="6" fillId="24" borderId="108" xfId="64" applyNumberFormat="1" applyFont="1" applyFill="1" applyBorder="1" applyAlignment="1">
      <alignment/>
      <protection/>
    </xf>
    <xf numFmtId="0" fontId="6" fillId="0" borderId="38" xfId="0" applyFont="1" applyFill="1" applyBorder="1" applyAlignment="1" applyProtection="1">
      <alignment horizontal="justify"/>
      <protection/>
    </xf>
    <xf numFmtId="0" fontId="17" fillId="0" borderId="51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8" fillId="0" borderId="0" xfId="0" applyFont="1" applyAlignment="1">
      <alignment wrapText="1"/>
    </xf>
    <xf numFmtId="0" fontId="0" fillId="0" borderId="0" xfId="0" applyFont="1" applyAlignment="1" applyProtection="1">
      <alignment horizontal="left"/>
      <protection locked="0"/>
    </xf>
    <xf numFmtId="0" fontId="8" fillId="0" borderId="136" xfId="0" applyFont="1" applyFill="1" applyBorder="1" applyAlignment="1" applyProtection="1">
      <alignment/>
      <protection/>
    </xf>
    <xf numFmtId="200" fontId="9" fillId="0" borderId="153" xfId="0" applyNumberFormat="1" applyFont="1" applyFill="1" applyBorder="1" applyAlignment="1" applyProtection="1">
      <alignment vertical="center"/>
      <protection/>
    </xf>
    <xf numFmtId="3" fontId="0" fillId="0" borderId="154" xfId="0" applyNumberFormat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right"/>
      <protection/>
    </xf>
    <xf numFmtId="0" fontId="38" fillId="0" borderId="0" xfId="0" applyFont="1" applyBorder="1" applyAlignment="1" applyProtection="1">
      <alignment vertical="center"/>
      <protection/>
    </xf>
    <xf numFmtId="0" fontId="15" fillId="0" borderId="116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8" fillId="0" borderId="23" xfId="0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200" fontId="6" fillId="0" borderId="0" xfId="0" applyNumberFormat="1" applyFont="1" applyFill="1" applyBorder="1" applyAlignment="1">
      <alignment/>
    </xf>
    <xf numFmtId="40" fontId="6" fillId="24" borderId="121" xfId="47" applyFont="1" applyFill="1" applyBorder="1" applyAlignment="1">
      <alignment horizontal="center"/>
    </xf>
    <xf numFmtId="40" fontId="6" fillId="24" borderId="34" xfId="47" applyFont="1" applyFill="1" applyBorder="1" applyAlignment="1">
      <alignment horizontal="center"/>
    </xf>
    <xf numFmtId="40" fontId="6" fillId="24" borderId="52" xfId="47" applyFont="1" applyFill="1" applyBorder="1" applyAlignment="1">
      <alignment horizontal="center"/>
    </xf>
    <xf numFmtId="0" fontId="19" fillId="0" borderId="117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justify"/>
      <protection/>
    </xf>
    <xf numFmtId="0" fontId="129" fillId="0" borderId="0" xfId="0" applyFont="1" applyAlignment="1">
      <alignment/>
    </xf>
    <xf numFmtId="0" fontId="22" fillId="0" borderId="120" xfId="0" applyFont="1" applyFill="1" applyBorder="1" applyAlignment="1" applyProtection="1">
      <alignment horizontal="center" vertical="center"/>
      <protection/>
    </xf>
    <xf numFmtId="0" fontId="22" fillId="0" borderId="124" xfId="0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Continuous"/>
    </xf>
    <xf numFmtId="0" fontId="92" fillId="0" borderId="71" xfId="0" applyFont="1" applyFill="1" applyBorder="1" applyAlignment="1">
      <alignment horizontal="center"/>
    </xf>
    <xf numFmtId="0" fontId="100" fillId="0" borderId="49" xfId="0" applyFont="1" applyFill="1" applyBorder="1" applyAlignment="1" applyProtection="1">
      <alignment horizontal="center"/>
      <protection/>
    </xf>
    <xf numFmtId="0" fontId="100" fillId="0" borderId="34" xfId="0" applyFont="1" applyFill="1" applyBorder="1" applyAlignment="1" applyProtection="1">
      <alignment horizontal="center"/>
      <protection/>
    </xf>
    <xf numFmtId="0" fontId="100" fillId="0" borderId="71" xfId="0" applyFont="1" applyFill="1" applyBorder="1" applyAlignment="1" applyProtection="1">
      <alignment horizontal="center"/>
      <protection/>
    </xf>
    <xf numFmtId="0" fontId="100" fillId="0" borderId="0" xfId="0" applyFont="1" applyFill="1" applyBorder="1" applyAlignment="1" applyProtection="1">
      <alignment horizontal="center"/>
      <protection/>
    </xf>
    <xf numFmtId="0" fontId="14" fillId="0" borderId="49" xfId="0" applyFont="1" applyFill="1" applyBorder="1" applyAlignment="1" applyProtection="1">
      <alignment horizontal="center" vertical="center"/>
      <protection/>
    </xf>
    <xf numFmtId="0" fontId="14" fillId="0" borderId="71" xfId="0" applyFont="1" applyBorder="1" applyAlignment="1">
      <alignment horizontal="center" vertical="center" wrapText="1"/>
    </xf>
    <xf numFmtId="1" fontId="15" fillId="0" borderId="49" xfId="0" applyNumberFormat="1" applyFont="1" applyFill="1" applyBorder="1" applyAlignment="1" applyProtection="1">
      <alignment horizontal="center" vertical="center" wrapText="1"/>
      <protection/>
    </xf>
    <xf numFmtId="0" fontId="15" fillId="0" borderId="71" xfId="0" applyFont="1" applyFill="1" applyBorder="1" applyAlignment="1" applyProtection="1">
      <alignment horizontal="center" vertical="center" wrapText="1"/>
      <protection/>
    </xf>
    <xf numFmtId="3" fontId="17" fillId="24" borderId="0" xfId="0" applyNumberFormat="1" applyFont="1" applyFill="1" applyBorder="1" applyAlignment="1" applyProtection="1">
      <alignment/>
      <protection locked="0"/>
    </xf>
    <xf numFmtId="0" fontId="15" fillId="0" borderId="49" xfId="0" applyFont="1" applyFill="1" applyBorder="1" applyAlignment="1" applyProtection="1">
      <alignment horizontal="center" vertical="center" wrapText="1"/>
      <protection/>
    </xf>
    <xf numFmtId="0" fontId="17" fillId="0" borderId="49" xfId="0" applyFont="1" applyFill="1" applyBorder="1" applyAlignment="1" applyProtection="1">
      <alignment horizontal="left"/>
      <protection/>
    </xf>
    <xf numFmtId="0" fontId="6" fillId="0" borderId="71" xfId="0" applyFont="1" applyFill="1" applyBorder="1" applyAlignment="1" applyProtection="1">
      <alignment horizontal="center"/>
      <protection/>
    </xf>
    <xf numFmtId="4" fontId="17" fillId="24" borderId="49" xfId="0" applyNumberFormat="1" applyFont="1" applyFill="1" applyBorder="1" applyAlignment="1" applyProtection="1">
      <alignment/>
      <protection locked="0"/>
    </xf>
    <xf numFmtId="4" fontId="17" fillId="24" borderId="34" xfId="0" applyNumberFormat="1" applyFont="1" applyFill="1" applyBorder="1" applyAlignment="1" applyProtection="1">
      <alignment/>
      <protection locked="0"/>
    </xf>
    <xf numFmtId="4" fontId="17" fillId="24" borderId="71" xfId="0" applyNumberFormat="1" applyFont="1" applyFill="1" applyBorder="1" applyAlignment="1" applyProtection="1">
      <alignment/>
      <protection locked="0"/>
    </xf>
    <xf numFmtId="3" fontId="17" fillId="24" borderId="49" xfId="0" applyNumberFormat="1" applyFont="1" applyFill="1" applyBorder="1" applyAlignment="1" applyProtection="1">
      <alignment/>
      <protection locked="0"/>
    </xf>
    <xf numFmtId="3" fontId="17" fillId="24" borderId="34" xfId="0" applyNumberFormat="1" applyFont="1" applyFill="1" applyBorder="1" applyAlignment="1" applyProtection="1">
      <alignment/>
      <protection locked="0"/>
    </xf>
    <xf numFmtId="3" fontId="17" fillId="24" borderId="71" xfId="0" applyNumberFormat="1" applyFont="1" applyFill="1" applyBorder="1" applyAlignment="1" applyProtection="1">
      <alignment/>
      <protection locked="0"/>
    </xf>
    <xf numFmtId="0" fontId="17" fillId="0" borderId="49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8" fillId="0" borderId="73" xfId="0" applyFont="1" applyFill="1" applyBorder="1" applyAlignment="1" applyProtection="1">
      <alignment horizontal="right" vertical="center"/>
      <protection/>
    </xf>
    <xf numFmtId="0" fontId="17" fillId="0" borderId="75" xfId="0" applyFont="1" applyFill="1" applyBorder="1" applyAlignment="1" applyProtection="1">
      <alignment horizontal="center"/>
      <protection/>
    </xf>
    <xf numFmtId="38" fontId="17" fillId="0" borderId="73" xfId="47" applyNumberFormat="1" applyFont="1" applyFill="1" applyBorder="1" applyAlignment="1">
      <alignment/>
    </xf>
    <xf numFmtId="38" fontId="17" fillId="0" borderId="75" xfId="47" applyNumberFormat="1" applyFont="1" applyFill="1" applyBorder="1" applyAlignment="1">
      <alignment/>
    </xf>
    <xf numFmtId="0" fontId="17" fillId="0" borderId="73" xfId="0" applyFont="1" applyBorder="1" applyAlignment="1">
      <alignment horizontal="center"/>
    </xf>
    <xf numFmtId="0" fontId="17" fillId="0" borderId="75" xfId="0" applyFont="1" applyBorder="1" applyAlignment="1">
      <alignment horizontal="center"/>
    </xf>
    <xf numFmtId="4" fontId="17" fillId="24" borderId="151" xfId="0" applyNumberFormat="1" applyFont="1" applyFill="1" applyBorder="1" applyAlignment="1" applyProtection="1">
      <alignment/>
      <protection locked="0"/>
    </xf>
    <xf numFmtId="4" fontId="17" fillId="24" borderId="56" xfId="0" applyNumberFormat="1" applyFont="1" applyFill="1" applyBorder="1" applyAlignment="1" applyProtection="1">
      <alignment/>
      <protection locked="0"/>
    </xf>
    <xf numFmtId="4" fontId="17" fillId="24" borderId="106" xfId="0" applyNumberFormat="1" applyFont="1" applyFill="1" applyBorder="1" applyAlignment="1" applyProtection="1">
      <alignment/>
      <protection locked="0"/>
    </xf>
    <xf numFmtId="4" fontId="17" fillId="0" borderId="73" xfId="47" applyNumberFormat="1" applyFont="1" applyFill="1" applyBorder="1" applyAlignment="1">
      <alignment/>
    </xf>
    <xf numFmtId="4" fontId="17" fillId="0" borderId="75" xfId="47" applyNumberFormat="1" applyFont="1" applyFill="1" applyBorder="1" applyAlignment="1">
      <alignment/>
    </xf>
    <xf numFmtId="40" fontId="6" fillId="0" borderId="107" xfId="47" applyFont="1" applyFill="1" applyBorder="1" applyAlignment="1">
      <alignment/>
    </xf>
    <xf numFmtId="40" fontId="6" fillId="0" borderId="108" xfId="47" applyFont="1" applyFill="1" applyBorder="1" applyAlignment="1">
      <alignment/>
    </xf>
    <xf numFmtId="40" fontId="6" fillId="0" borderId="109" xfId="47" applyFont="1" applyFill="1" applyBorder="1" applyAlignment="1">
      <alignment/>
    </xf>
    <xf numFmtId="173" fontId="6" fillId="0" borderId="0" xfId="61" applyFont="1" applyAlignment="1" applyProtection="1">
      <alignment vertical="center"/>
      <protection/>
    </xf>
    <xf numFmtId="49" fontId="17" fillId="0" borderId="34" xfId="61" applyNumberFormat="1" applyFont="1" applyBorder="1" applyAlignment="1" applyProtection="1">
      <alignment horizontal="left" vertical="center"/>
      <protection locked="0"/>
    </xf>
    <xf numFmtId="49" fontId="17" fillId="0" borderId="34" xfId="0" applyNumberFormat="1" applyFont="1" applyBorder="1" applyAlignment="1" applyProtection="1">
      <alignment horizontal="left"/>
      <protection locked="0"/>
    </xf>
    <xf numFmtId="0" fontId="14" fillId="0" borderId="155" xfId="0" applyFont="1" applyFill="1" applyBorder="1" applyAlignment="1" applyProtection="1">
      <alignment horizontal="center" vertical="center"/>
      <protection/>
    </xf>
    <xf numFmtId="0" fontId="131" fillId="28" borderId="0" xfId="0" applyFont="1" applyFill="1" applyAlignment="1">
      <alignment/>
    </xf>
    <xf numFmtId="200" fontId="131" fillId="28" borderId="0" xfId="0" applyNumberFormat="1" applyFont="1" applyFill="1" applyAlignment="1">
      <alignment/>
    </xf>
    <xf numFmtId="0" fontId="14" fillId="29" borderId="156" xfId="0" applyFont="1" applyFill="1" applyBorder="1" applyAlignment="1" applyProtection="1">
      <alignment horizontal="center" vertical="center"/>
      <protection/>
    </xf>
    <xf numFmtId="0" fontId="14" fillId="29" borderId="13" xfId="0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>
      <alignment horizontal="centerContinuous" vertical="center"/>
    </xf>
    <xf numFmtId="0" fontId="20" fillId="0" borderId="47" xfId="68" applyFont="1" applyFill="1" applyBorder="1" applyAlignment="1">
      <alignment horizontal="center"/>
      <protection/>
    </xf>
    <xf numFmtId="0" fontId="14" fillId="29" borderId="23" xfId="68" applyFont="1" applyFill="1" applyBorder="1" applyAlignment="1" applyProtection="1">
      <alignment horizontal="center" vertical="center"/>
      <protection/>
    </xf>
    <xf numFmtId="0" fontId="14" fillId="0" borderId="10" xfId="67" applyFont="1" applyFill="1" applyBorder="1" applyAlignment="1">
      <alignment horizontal="centerContinuous" vertical="center"/>
      <protection/>
    </xf>
    <xf numFmtId="0" fontId="6" fillId="0" borderId="47" xfId="63" applyFont="1" applyFill="1" applyBorder="1" applyAlignment="1">
      <alignment horizontal="center"/>
      <protection/>
    </xf>
    <xf numFmtId="0" fontId="14" fillId="29" borderId="47" xfId="63" applyFont="1" applyFill="1" applyBorder="1" applyAlignment="1">
      <alignment horizontal="center"/>
      <protection/>
    </xf>
    <xf numFmtId="0" fontId="14" fillId="29" borderId="47" xfId="64" applyFont="1" applyFill="1" applyBorder="1" applyAlignment="1">
      <alignment horizontal="center"/>
      <protection/>
    </xf>
    <xf numFmtId="0" fontId="14" fillId="29" borderId="47" xfId="65" applyFont="1" applyFill="1" applyBorder="1" applyAlignment="1">
      <alignment horizontal="center"/>
      <protection/>
    </xf>
    <xf numFmtId="0" fontId="14" fillId="29" borderId="47" xfId="66" applyFont="1" applyFill="1" applyBorder="1" applyAlignment="1">
      <alignment horizontal="center"/>
      <protection/>
    </xf>
    <xf numFmtId="0" fontId="14" fillId="29" borderId="47" xfId="67" applyFont="1" applyFill="1" applyBorder="1" applyAlignment="1" applyProtection="1">
      <alignment horizontal="center" vertical="center"/>
      <protection/>
    </xf>
    <xf numFmtId="0" fontId="14" fillId="29" borderId="47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Continuous" vertical="center"/>
      <protection/>
    </xf>
    <xf numFmtId="0" fontId="9" fillId="0" borderId="95" xfId="0" applyFont="1" applyFill="1" applyBorder="1" applyAlignment="1" applyProtection="1">
      <alignment horizontal="centerContinuous" vertical="center" wrapText="1"/>
      <protection/>
    </xf>
    <xf numFmtId="0" fontId="20" fillId="0" borderId="26" xfId="0" applyFont="1" applyFill="1" applyBorder="1" applyAlignment="1" applyProtection="1">
      <alignment/>
      <protection/>
    </xf>
    <xf numFmtId="0" fontId="14" fillId="29" borderId="13" xfId="0" applyFont="1" applyFill="1" applyBorder="1" applyAlignment="1">
      <alignment horizontal="centerContinuous"/>
    </xf>
    <xf numFmtId="3" fontId="17" fillId="0" borderId="51" xfId="0" applyNumberFormat="1" applyFont="1" applyFill="1" applyBorder="1" applyAlignment="1" applyProtection="1">
      <alignment/>
      <protection locked="0"/>
    </xf>
    <xf numFmtId="3" fontId="17" fillId="0" borderId="34" xfId="0" applyNumberFormat="1" applyFont="1" applyFill="1" applyBorder="1" applyAlignment="1" applyProtection="1">
      <alignment/>
      <protection locked="0"/>
    </xf>
    <xf numFmtId="3" fontId="17" fillId="0" borderId="52" xfId="0" applyNumberFormat="1" applyFont="1" applyFill="1" applyBorder="1" applyAlignment="1" applyProtection="1">
      <alignment/>
      <protection locked="0"/>
    </xf>
    <xf numFmtId="0" fontId="17" fillId="0" borderId="69" xfId="0" applyNumberFormat="1" applyFont="1" applyFill="1" applyBorder="1" applyAlignment="1" applyProtection="1">
      <alignment wrapText="1"/>
      <protection locked="0"/>
    </xf>
    <xf numFmtId="0" fontId="17" fillId="0" borderId="70" xfId="0" applyNumberFormat="1" applyFont="1" applyFill="1" applyBorder="1" applyAlignment="1" applyProtection="1">
      <alignment wrapText="1"/>
      <protection locked="0"/>
    </xf>
    <xf numFmtId="0" fontId="17" fillId="0" borderId="72" xfId="0" applyNumberFormat="1" applyFont="1" applyFill="1" applyBorder="1" applyAlignment="1" applyProtection="1">
      <alignment wrapText="1"/>
      <protection locked="0"/>
    </xf>
    <xf numFmtId="200" fontId="6" fillId="24" borderId="64" xfId="0" applyNumberFormat="1" applyFont="1" applyFill="1" applyBorder="1" applyAlignment="1" applyProtection="1">
      <alignment/>
      <protection locked="0"/>
    </xf>
    <xf numFmtId="200" fontId="6" fillId="24" borderId="48" xfId="0" applyNumberFormat="1" applyFont="1" applyFill="1" applyBorder="1" applyAlignment="1" applyProtection="1">
      <alignment/>
      <protection locked="0"/>
    </xf>
    <xf numFmtId="200" fontId="6" fillId="24" borderId="78" xfId="0" applyNumberFormat="1" applyFont="1" applyFill="1" applyBorder="1" applyAlignment="1" applyProtection="1">
      <alignment/>
      <protection locked="0"/>
    </xf>
    <xf numFmtId="200" fontId="6" fillId="0" borderId="64" xfId="0" applyNumberFormat="1" applyFont="1" applyFill="1" applyBorder="1" applyAlignment="1" applyProtection="1">
      <alignment/>
      <protection locked="0"/>
    </xf>
    <xf numFmtId="200" fontId="6" fillId="0" borderId="48" xfId="0" applyNumberFormat="1" applyFont="1" applyFill="1" applyBorder="1" applyAlignment="1" applyProtection="1">
      <alignment/>
      <protection locked="0"/>
    </xf>
    <xf numFmtId="200" fontId="6" fillId="0" borderId="78" xfId="0" applyNumberFormat="1" applyFont="1" applyFill="1" applyBorder="1" applyAlignment="1" applyProtection="1">
      <alignment/>
      <protection locked="0"/>
    </xf>
    <xf numFmtId="200" fontId="6" fillId="0" borderId="88" xfId="68" applyNumberFormat="1" applyFont="1" applyFill="1" applyBorder="1" applyProtection="1">
      <alignment/>
      <protection locked="0"/>
    </xf>
    <xf numFmtId="200" fontId="6" fillId="0" borderId="80" xfId="68" applyNumberFormat="1" applyFont="1" applyFill="1" applyBorder="1" applyProtection="1">
      <alignment/>
      <protection locked="0"/>
    </xf>
    <xf numFmtId="200" fontId="6" fillId="0" borderId="140" xfId="68" applyNumberFormat="1" applyFont="1" applyFill="1" applyBorder="1" applyProtection="1">
      <alignment/>
      <protection locked="0"/>
    </xf>
    <xf numFmtId="200" fontId="6" fillId="0" borderId="36" xfId="68" applyNumberFormat="1" applyFont="1" applyFill="1" applyBorder="1" applyProtection="1">
      <alignment/>
      <protection locked="0"/>
    </xf>
    <xf numFmtId="200" fontId="6" fillId="0" borderId="54" xfId="68" applyNumberFormat="1" applyFont="1" applyFill="1" applyBorder="1" applyProtection="1">
      <alignment/>
      <protection locked="0"/>
    </xf>
    <xf numFmtId="200" fontId="6" fillId="0" borderId="82" xfId="68" applyNumberFormat="1" applyFont="1" applyFill="1" applyBorder="1" applyProtection="1">
      <alignment/>
      <protection locked="0"/>
    </xf>
    <xf numFmtId="200" fontId="6" fillId="0" borderId="78" xfId="68" applyNumberFormat="1" applyFont="1" applyFill="1" applyBorder="1" applyProtection="1">
      <alignment/>
      <protection locked="0"/>
    </xf>
    <xf numFmtId="200" fontId="6" fillId="0" borderId="113" xfId="68" applyNumberFormat="1" applyFont="1" applyFill="1" applyBorder="1" applyProtection="1">
      <alignment/>
      <protection locked="0"/>
    </xf>
    <xf numFmtId="200" fontId="6" fillId="0" borderId="138" xfId="68" applyNumberFormat="1" applyFont="1" applyFill="1" applyBorder="1" applyProtection="1">
      <alignment/>
      <protection locked="0"/>
    </xf>
    <xf numFmtId="200" fontId="6" fillId="0" borderId="64" xfId="0" applyNumberFormat="1" applyFont="1" applyFill="1" applyBorder="1" applyAlignment="1" applyProtection="1">
      <alignment/>
      <protection locked="0"/>
    </xf>
    <xf numFmtId="200" fontId="6" fillId="0" borderId="65" xfId="0" applyNumberFormat="1" applyFont="1" applyFill="1" applyBorder="1" applyAlignment="1" applyProtection="1">
      <alignment/>
      <protection locked="0"/>
    </xf>
    <xf numFmtId="200" fontId="6" fillId="0" borderId="66" xfId="0" applyNumberFormat="1" applyFont="1" applyFill="1" applyBorder="1" applyAlignment="1" applyProtection="1">
      <alignment/>
      <protection locked="0"/>
    </xf>
    <xf numFmtId="200" fontId="6" fillId="0" borderId="67" xfId="0" applyNumberFormat="1" applyFont="1" applyFill="1" applyBorder="1" applyAlignment="1" applyProtection="1">
      <alignment/>
      <protection locked="0"/>
    </xf>
    <xf numFmtId="200" fontId="6" fillId="0" borderId="68" xfId="0" applyNumberFormat="1" applyFont="1" applyFill="1" applyBorder="1" applyAlignment="1" applyProtection="1">
      <alignment/>
      <protection locked="0"/>
    </xf>
    <xf numFmtId="200" fontId="6" fillId="0" borderId="68" xfId="0" applyNumberFormat="1" applyFont="1" applyBorder="1" applyAlignment="1" applyProtection="1">
      <alignment/>
      <protection locked="0"/>
    </xf>
    <xf numFmtId="0" fontId="9" fillId="0" borderId="103" xfId="0" applyFont="1" applyFill="1" applyBorder="1" applyAlignment="1" applyProtection="1">
      <alignment horizontal="center" vertical="center"/>
      <protection/>
    </xf>
    <xf numFmtId="0" fontId="17" fillId="0" borderId="79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137" xfId="0" applyFont="1" applyFill="1" applyBorder="1" applyAlignment="1" applyProtection="1">
      <alignment horizontal="center"/>
      <protection/>
    </xf>
    <xf numFmtId="0" fontId="17" fillId="0" borderId="79" xfId="0" applyFont="1" applyFill="1" applyBorder="1" applyAlignment="1" applyProtection="1">
      <alignment horizontal="center"/>
      <protection/>
    </xf>
    <xf numFmtId="0" fontId="17" fillId="0" borderId="44" xfId="0" applyFont="1" applyFill="1" applyBorder="1" applyAlignment="1" applyProtection="1">
      <alignment horizontal="center"/>
      <protection/>
    </xf>
    <xf numFmtId="0" fontId="17" fillId="0" borderId="58" xfId="0" applyFont="1" applyFill="1" applyBorder="1" applyAlignment="1" applyProtection="1">
      <alignment horizontal="center"/>
      <protection/>
    </xf>
    <xf numFmtId="0" fontId="17" fillId="0" borderId="138" xfId="0" applyFont="1" applyFill="1" applyBorder="1" applyAlignment="1" applyProtection="1">
      <alignment horizontal="center"/>
      <protection/>
    </xf>
    <xf numFmtId="0" fontId="17" fillId="0" borderId="157" xfId="0" applyFont="1" applyFill="1" applyBorder="1" applyAlignment="1" applyProtection="1">
      <alignment horizontal="center"/>
      <protection/>
    </xf>
    <xf numFmtId="3" fontId="17" fillId="0" borderId="79" xfId="0" applyNumberFormat="1" applyFont="1" applyFill="1" applyBorder="1" applyAlignment="1" applyProtection="1">
      <alignment horizontal="center"/>
      <protection/>
    </xf>
    <xf numFmtId="200" fontId="6" fillId="0" borderId="104" xfId="47" applyNumberFormat="1" applyFont="1" applyFill="1" applyBorder="1" applyAlignment="1" applyProtection="1">
      <alignment/>
      <protection locked="0"/>
    </xf>
    <xf numFmtId="200" fontId="6" fillId="0" borderId="27" xfId="47" applyNumberFormat="1" applyFont="1" applyFill="1" applyBorder="1" applyAlignment="1" applyProtection="1">
      <alignment/>
      <protection locked="0"/>
    </xf>
    <xf numFmtId="200" fontId="6" fillId="0" borderId="82" xfId="47" applyNumberFormat="1" applyFont="1" applyFill="1" applyBorder="1" applyAlignment="1" applyProtection="1">
      <alignment/>
      <protection locked="0"/>
    </xf>
    <xf numFmtId="200" fontId="6" fillId="0" borderId="71" xfId="47" applyNumberFormat="1" applyFont="1" applyFill="1" applyBorder="1" applyAlignment="1" applyProtection="1">
      <alignment/>
      <protection locked="0"/>
    </xf>
    <xf numFmtId="200" fontId="6" fillId="0" borderId="92" xfId="47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top"/>
      <protection/>
    </xf>
    <xf numFmtId="3" fontId="6" fillId="24" borderId="51" xfId="0" applyNumberFormat="1" applyFont="1" applyFill="1" applyBorder="1" applyAlignment="1">
      <alignment horizontal="center" vertical="center"/>
    </xf>
    <xf numFmtId="0" fontId="8" fillId="0" borderId="157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16" xfId="0" applyFont="1" applyFill="1" applyBorder="1" applyAlignment="1" applyProtection="1">
      <alignment/>
      <protection/>
    </xf>
    <xf numFmtId="0" fontId="6" fillId="0" borderId="154" xfId="0" applyFont="1" applyFill="1" applyBorder="1" applyAlignment="1" applyProtection="1">
      <alignment/>
      <protection/>
    </xf>
    <xf numFmtId="3" fontId="0" fillId="0" borderId="44" xfId="0" applyNumberFormat="1" applyFill="1" applyBorder="1" applyAlignment="1" applyProtection="1">
      <alignment/>
      <protection locked="0"/>
    </xf>
    <xf numFmtId="3" fontId="0" fillId="0" borderId="44" xfId="0" applyNumberFormat="1" applyBorder="1" applyAlignment="1" applyProtection="1">
      <alignment/>
      <protection locked="0"/>
    </xf>
    <xf numFmtId="200" fontId="9" fillId="0" borderId="63" xfId="0" applyNumberFormat="1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36" xfId="0" applyFont="1" applyFill="1" applyBorder="1" applyAlignment="1" applyProtection="1">
      <alignment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wrapText="1"/>
    </xf>
    <xf numFmtId="0" fontId="101" fillId="0" borderId="0" xfId="0" applyFont="1" applyAlignment="1">
      <alignment/>
    </xf>
    <xf numFmtId="0" fontId="22" fillId="0" borderId="23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40" xfId="0" applyFont="1" applyBorder="1" applyAlignment="1">
      <alignment horizontal="left" wrapText="1"/>
    </xf>
    <xf numFmtId="0" fontId="5" fillId="0" borderId="116" xfId="0" applyFont="1" applyBorder="1" applyAlignment="1">
      <alignment vertical="top"/>
    </xf>
    <xf numFmtId="0" fontId="6" fillId="0" borderId="116" xfId="0" applyFont="1" applyBorder="1" applyAlignment="1">
      <alignment/>
    </xf>
    <xf numFmtId="0" fontId="5" fillId="0" borderId="116" xfId="0" applyFont="1" applyBorder="1" applyAlignment="1">
      <alignment vertical="top" wrapText="1"/>
    </xf>
    <xf numFmtId="0" fontId="5" fillId="0" borderId="116" xfId="0" applyFont="1" applyBorder="1" applyAlignment="1">
      <alignment/>
    </xf>
    <xf numFmtId="0" fontId="9" fillId="0" borderId="92" xfId="0" applyFont="1" applyBorder="1" applyAlignment="1">
      <alignment horizontal="center" vertical="center" wrapText="1"/>
    </xf>
    <xf numFmtId="0" fontId="9" fillId="0" borderId="145" xfId="0" applyFont="1" applyBorder="1" applyAlignment="1">
      <alignment horizontal="center" vertical="center" wrapText="1"/>
    </xf>
    <xf numFmtId="0" fontId="9" fillId="0" borderId="145" xfId="0" applyFont="1" applyFill="1" applyBorder="1" applyAlignment="1" applyProtection="1">
      <alignment horizontal="center" vertical="center" wrapText="1"/>
      <protection/>
    </xf>
    <xf numFmtId="0" fontId="9" fillId="0" borderId="71" xfId="0" applyFont="1" applyFill="1" applyBorder="1" applyAlignment="1" applyProtection="1">
      <alignment horizontal="center" vertical="center" wrapText="1"/>
      <protection/>
    </xf>
    <xf numFmtId="0" fontId="9" fillId="0" borderId="124" xfId="0" applyFont="1" applyFill="1" applyBorder="1" applyAlignment="1" applyProtection="1">
      <alignment horizontal="center" vertical="center" wrapText="1"/>
      <protection/>
    </xf>
    <xf numFmtId="38" fontId="6" fillId="0" borderId="34" xfId="47" applyNumberFormat="1" applyFont="1" applyBorder="1" applyAlignment="1">
      <alignment/>
    </xf>
    <xf numFmtId="173" fontId="49" fillId="28" borderId="0" xfId="61" applyFont="1" applyFill="1" applyAlignment="1" applyProtection="1">
      <alignment vertical="center"/>
      <protection/>
    </xf>
    <xf numFmtId="173" fontId="13" fillId="28" borderId="0" xfId="61" applyFont="1" applyFill="1" applyAlignment="1" applyProtection="1">
      <alignment horizontal="left" vertical="center" wrapText="1"/>
      <protection/>
    </xf>
    <xf numFmtId="173" fontId="13" fillId="28" borderId="0" xfId="61" applyFont="1" applyFill="1" applyBorder="1" applyAlignment="1" applyProtection="1">
      <alignment horizontal="left" vertical="center" wrapText="1"/>
      <protection/>
    </xf>
    <xf numFmtId="1" fontId="17" fillId="28" borderId="0" xfId="61" applyNumberFormat="1" applyFont="1" applyFill="1" applyBorder="1" applyAlignment="1" applyProtection="1">
      <alignment vertical="center"/>
      <protection/>
    </xf>
    <xf numFmtId="173" fontId="39" fillId="28" borderId="0" xfId="61" applyFill="1" applyAlignment="1">
      <alignment vertical="center"/>
      <protection/>
    </xf>
    <xf numFmtId="0" fontId="56" fillId="28" borderId="0" xfId="61" applyNumberFormat="1" applyFont="1" applyFill="1" applyAlignment="1">
      <alignment horizontal="center" vertical="center" wrapText="1"/>
      <protection/>
    </xf>
    <xf numFmtId="2" fontId="6" fillId="0" borderId="34" xfId="47" applyNumberFormat="1" applyFont="1" applyBorder="1" applyAlignment="1">
      <alignment/>
    </xf>
    <xf numFmtId="0" fontId="0" fillId="0" borderId="116" xfId="0" applyBorder="1" applyAlignment="1" applyProtection="1">
      <alignment/>
      <protection/>
    </xf>
    <xf numFmtId="0" fontId="25" fillId="0" borderId="116" xfId="0" applyFont="1" applyBorder="1" applyAlignment="1" applyProtection="1">
      <alignment vertical="center"/>
      <protection/>
    </xf>
    <xf numFmtId="0" fontId="8" fillId="0" borderId="120" xfId="52" applyFont="1" applyFill="1" applyBorder="1" applyAlignment="1" applyProtection="1">
      <alignment horizontal="centerContinuous" vertical="center" wrapText="1"/>
      <protection/>
    </xf>
    <xf numFmtId="0" fontId="6" fillId="0" borderId="12" xfId="52" applyFont="1" applyFill="1" applyBorder="1" applyAlignment="1" applyProtection="1">
      <alignment horizontal="centerContinuous"/>
      <protection/>
    </xf>
    <xf numFmtId="0" fontId="0" fillId="0" borderId="30" xfId="52" applyBorder="1" applyAlignment="1" applyProtection="1">
      <alignment horizontal="centerContinuous" vertical="center"/>
      <protection/>
    </xf>
    <xf numFmtId="0" fontId="0" fillId="30" borderId="150" xfId="52" applyFill="1" applyBorder="1" applyProtection="1">
      <alignment/>
      <protection/>
    </xf>
    <xf numFmtId="0" fontId="0" fillId="0" borderId="12" xfId="52" applyBorder="1" applyAlignment="1" applyProtection="1">
      <alignment horizontal="centerContinuous" vertical="center"/>
      <protection/>
    </xf>
    <xf numFmtId="0" fontId="6" fillId="0" borderId="30" xfId="52" applyFont="1" applyFill="1" applyBorder="1" applyAlignment="1" applyProtection="1">
      <alignment horizontal="centerContinuous" vertical="center"/>
      <protection/>
    </xf>
    <xf numFmtId="0" fontId="33" fillId="0" borderId="119" xfId="52" applyFont="1" applyFill="1" applyBorder="1" applyAlignment="1" applyProtection="1">
      <alignment horizontal="center" vertical="center"/>
      <protection/>
    </xf>
    <xf numFmtId="0" fontId="0" fillId="0" borderId="0" xfId="52" applyProtection="1">
      <alignment/>
      <protection/>
    </xf>
    <xf numFmtId="0" fontId="102" fillId="0" borderId="0" xfId="52" applyFont="1" applyFill="1" applyBorder="1" applyAlignment="1" applyProtection="1">
      <alignment horizontal="center" vertical="center" wrapText="1"/>
      <protection/>
    </xf>
    <xf numFmtId="0" fontId="0" fillId="0" borderId="0" xfId="52" applyAlignment="1" applyProtection="1">
      <alignment horizontal="center" vertical="center"/>
      <protection/>
    </xf>
    <xf numFmtId="0" fontId="0" fillId="0" borderId="0" xfId="52" applyAlignment="1" applyProtection="1">
      <alignment vertic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19" fillId="30" borderId="158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vertical="center" wrapText="1"/>
      <protection/>
    </xf>
    <xf numFmtId="0" fontId="8" fillId="0" borderId="159" xfId="0" applyFont="1" applyFill="1" applyBorder="1" applyAlignment="1" applyProtection="1">
      <alignment/>
      <protection/>
    </xf>
    <xf numFmtId="0" fontId="8" fillId="0" borderId="137" xfId="0" applyFont="1" applyFill="1" applyBorder="1" applyAlignment="1" applyProtection="1">
      <alignment/>
      <protection/>
    </xf>
    <xf numFmtId="0" fontId="8" fillId="0" borderId="160" xfId="0" applyFont="1" applyFill="1" applyBorder="1" applyAlignment="1" applyProtection="1">
      <alignment/>
      <protection/>
    </xf>
    <xf numFmtId="0" fontId="130" fillId="0" borderId="0" xfId="55" applyFont="1" applyAlignment="1" applyProtection="1">
      <alignment horizontal="centerContinuous" vertical="center"/>
      <protection hidden="1"/>
    </xf>
    <xf numFmtId="0" fontId="102" fillId="0" borderId="0" xfId="52" applyFont="1" applyFill="1" applyBorder="1" applyAlignment="1" applyProtection="1">
      <alignment horizontal="centerContinuous" vertical="center"/>
      <protection/>
    </xf>
    <xf numFmtId="0" fontId="0" fillId="0" borderId="0" xfId="52" applyAlignment="1" applyProtection="1">
      <alignment horizontal="centerContinuous" vertical="center"/>
      <protection/>
    </xf>
    <xf numFmtId="0" fontId="93" fillId="0" borderId="38" xfId="52" applyFont="1" applyFill="1" applyBorder="1" applyAlignment="1" applyProtection="1">
      <alignment horizontal="left" vertical="top" wrapText="1"/>
      <protection/>
    </xf>
    <xf numFmtId="0" fontId="8" fillId="0" borderId="79" xfId="0" applyFont="1" applyFill="1" applyBorder="1" applyAlignment="1" applyProtection="1">
      <alignment/>
      <protection/>
    </xf>
    <xf numFmtId="0" fontId="8" fillId="0" borderId="69" xfId="0" applyFont="1" applyFill="1" applyBorder="1" applyAlignment="1" applyProtection="1">
      <alignment/>
      <protection/>
    </xf>
    <xf numFmtId="0" fontId="130" fillId="0" borderId="0" xfId="55" applyFont="1" applyAlignment="1" applyProtection="1">
      <alignment horizontal="center" vertical="center"/>
      <protection hidden="1"/>
    </xf>
    <xf numFmtId="0" fontId="0" fillId="30" borderId="158" xfId="0" applyFill="1" applyBorder="1" applyAlignment="1" applyProtection="1">
      <alignment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3" fillId="0" borderId="119" xfId="52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92" fillId="0" borderId="45" xfId="0" applyFont="1" applyFill="1" applyBorder="1" applyAlignment="1" applyProtection="1">
      <alignment/>
      <protection/>
    </xf>
    <xf numFmtId="0" fontId="92" fillId="0" borderId="12" xfId="0" applyFont="1" applyFill="1" applyBorder="1" applyAlignment="1" applyProtection="1">
      <alignment/>
      <protection/>
    </xf>
    <xf numFmtId="0" fontId="92" fillId="0" borderId="30" xfId="0" applyFont="1" applyFill="1" applyBorder="1" applyAlignment="1" applyProtection="1">
      <alignment/>
      <protection/>
    </xf>
    <xf numFmtId="0" fontId="92" fillId="0" borderId="0" xfId="0" applyFont="1" applyFill="1" applyBorder="1" applyAlignment="1" applyProtection="1">
      <alignment horizontal="center"/>
      <protection/>
    </xf>
    <xf numFmtId="0" fontId="0" fillId="30" borderId="23" xfId="0" applyFill="1" applyBorder="1" applyAlignment="1" applyProtection="1">
      <alignment/>
      <protection/>
    </xf>
    <xf numFmtId="0" fontId="6" fillId="0" borderId="49" xfId="52" applyFont="1" applyFill="1" applyBorder="1" applyAlignment="1" applyProtection="1">
      <alignment horizontal="left"/>
      <protection/>
    </xf>
    <xf numFmtId="0" fontId="15" fillId="0" borderId="44" xfId="52" applyFont="1" applyFill="1" applyBorder="1" applyAlignment="1" applyProtection="1">
      <alignment horizontal="center"/>
      <protection/>
    </xf>
    <xf numFmtId="0" fontId="38" fillId="0" borderId="23" xfId="0" applyFont="1" applyBorder="1" applyAlignment="1" applyProtection="1">
      <alignment vertical="center"/>
      <protection/>
    </xf>
    <xf numFmtId="0" fontId="33" fillId="0" borderId="23" xfId="0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 applyProtection="1">
      <alignment vertical="center" wrapText="1"/>
      <protection/>
    </xf>
    <xf numFmtId="0" fontId="38" fillId="0" borderId="23" xfId="0" applyFont="1" applyBorder="1" applyAlignment="1" applyProtection="1">
      <alignment vertical="center" wrapText="1"/>
      <protection/>
    </xf>
    <xf numFmtId="0" fontId="6" fillId="0" borderId="49" xfId="56" applyFont="1" applyFill="1" applyBorder="1" applyAlignment="1" applyProtection="1">
      <alignment horizontal="left"/>
      <protection/>
    </xf>
    <xf numFmtId="0" fontId="9" fillId="0" borderId="161" xfId="52" applyFont="1" applyFill="1" applyBorder="1" applyAlignment="1" applyProtection="1">
      <alignment horizontal="center" vertical="center"/>
      <protection/>
    </xf>
    <xf numFmtId="0" fontId="9" fillId="0" borderId="162" xfId="0" applyFont="1" applyFill="1" applyBorder="1" applyAlignment="1" applyProtection="1">
      <alignment/>
      <protection/>
    </xf>
    <xf numFmtId="0" fontId="26" fillId="0" borderId="16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8" fillId="0" borderId="120" xfId="52" applyFont="1" applyFill="1" applyBorder="1" applyAlignment="1" applyProtection="1">
      <alignment horizontal="centerContinuous" vertic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0" fillId="30" borderId="40" xfId="0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8" fillId="0" borderId="163" xfId="0" applyFont="1" applyFill="1" applyBorder="1" applyAlignment="1" applyProtection="1">
      <alignment/>
      <protection/>
    </xf>
    <xf numFmtId="0" fontId="8" fillId="0" borderId="77" xfId="0" applyFont="1" applyFill="1" applyBorder="1" applyAlignment="1" applyProtection="1">
      <alignment/>
      <protection/>
    </xf>
    <xf numFmtId="200" fontId="6" fillId="0" borderId="49" xfId="53" applyNumberFormat="1" applyFont="1" applyFill="1" applyBorder="1" applyAlignment="1" applyProtection="1">
      <alignment vertical="center"/>
      <protection/>
    </xf>
    <xf numFmtId="0" fontId="92" fillId="0" borderId="16" xfId="0" applyFont="1" applyFill="1" applyBorder="1" applyAlignment="1" applyProtection="1">
      <alignment horizontal="right"/>
      <protection/>
    </xf>
    <xf numFmtId="173" fontId="132" fillId="0" borderId="0" xfId="61" applyFont="1" applyAlignment="1" applyProtection="1">
      <alignment vertical="center"/>
      <protection/>
    </xf>
    <xf numFmtId="0" fontId="133" fillId="0" borderId="0" xfId="0" applyFont="1" applyAlignment="1">
      <alignment/>
    </xf>
    <xf numFmtId="173" fontId="134" fillId="0" borderId="0" xfId="61" applyFont="1" applyAlignment="1" applyProtection="1">
      <alignment vertical="center"/>
      <protection/>
    </xf>
    <xf numFmtId="173" fontId="132" fillId="0" borderId="0" xfId="61" applyFont="1" applyAlignment="1">
      <alignment vertical="center"/>
      <protection/>
    </xf>
    <xf numFmtId="173" fontId="132" fillId="0" borderId="0" xfId="61" applyFont="1" applyAlignment="1">
      <alignment horizontal="center" vertical="center"/>
      <protection/>
    </xf>
    <xf numFmtId="0" fontId="6" fillId="0" borderId="0" xfId="0" applyFont="1" applyAlignment="1" applyProtection="1">
      <alignment/>
      <protection locked="0"/>
    </xf>
    <xf numFmtId="2" fontId="6" fillId="0" borderId="104" xfId="47" applyNumberFormat="1" applyFont="1" applyFill="1" applyBorder="1" applyAlignment="1" applyProtection="1">
      <alignment/>
      <protection locked="0"/>
    </xf>
    <xf numFmtId="2" fontId="6" fillId="0" borderId="78" xfId="47" applyNumberFormat="1" applyFont="1" applyFill="1" applyBorder="1" applyAlignment="1" applyProtection="1">
      <alignment/>
      <protection locked="0"/>
    </xf>
    <xf numFmtId="2" fontId="6" fillId="0" borderId="27" xfId="47" applyNumberFormat="1" applyFont="1" applyFill="1" applyBorder="1" applyAlignment="1" applyProtection="1">
      <alignment/>
      <protection locked="0"/>
    </xf>
    <xf numFmtId="2" fontId="6" fillId="0" borderId="48" xfId="47" applyNumberFormat="1" applyFont="1" applyFill="1" applyBorder="1" applyAlignment="1" applyProtection="1">
      <alignment/>
      <protection locked="0"/>
    </xf>
    <xf numFmtId="2" fontId="6" fillId="0" borderId="82" xfId="47" applyNumberFormat="1" applyFont="1" applyFill="1" applyBorder="1" applyAlignment="1" applyProtection="1">
      <alignment/>
      <protection locked="0"/>
    </xf>
    <xf numFmtId="3" fontId="7" fillId="24" borderId="82" xfId="0" applyNumberFormat="1" applyFont="1" applyFill="1" applyBorder="1" applyAlignment="1" applyProtection="1">
      <alignment wrapText="1"/>
      <protection locked="0"/>
    </xf>
    <xf numFmtId="3" fontId="7" fillId="24" borderId="34" xfId="0" applyNumberFormat="1" applyFont="1" applyFill="1" applyBorder="1" applyAlignment="1" applyProtection="1">
      <alignment wrapText="1"/>
      <protection locked="0"/>
    </xf>
    <xf numFmtId="3" fontId="7" fillId="24" borderId="34" xfId="0" applyNumberFormat="1" applyFont="1" applyFill="1" applyBorder="1" applyAlignment="1" applyProtection="1">
      <alignment/>
      <protection locked="0"/>
    </xf>
    <xf numFmtId="3" fontId="7" fillId="24" borderId="82" xfId="0" applyNumberFormat="1" applyFont="1" applyFill="1" applyBorder="1" applyAlignment="1" applyProtection="1">
      <alignment horizontal="right"/>
      <protection locked="0"/>
    </xf>
    <xf numFmtId="173" fontId="13" fillId="0" borderId="0" xfId="61" applyFont="1" applyFill="1" applyAlignment="1" applyProtection="1">
      <alignment horizontal="left" vertical="center" wrapText="1"/>
      <protection/>
    </xf>
    <xf numFmtId="173" fontId="13" fillId="0" borderId="135" xfId="61" applyFont="1" applyFill="1" applyBorder="1" applyAlignment="1" applyProtection="1">
      <alignment horizontal="left" vertical="center" wrapText="1"/>
      <protection/>
    </xf>
    <xf numFmtId="0" fontId="90" fillId="16" borderId="44" xfId="0" applyFont="1" applyFill="1" applyBorder="1" applyAlignment="1">
      <alignment horizontal="center" vertical="center" readingOrder="1"/>
    </xf>
    <xf numFmtId="0" fontId="90" fillId="16" borderId="138" xfId="0" applyFont="1" applyFill="1" applyBorder="1" applyAlignment="1">
      <alignment horizontal="center" vertical="center" readingOrder="1"/>
    </xf>
    <xf numFmtId="0" fontId="90" fillId="16" borderId="59" xfId="0" applyFont="1" applyFill="1" applyBorder="1" applyAlignment="1">
      <alignment horizontal="center" vertical="center" readingOrder="1"/>
    </xf>
    <xf numFmtId="49" fontId="17" fillId="22" borderId="44" xfId="61" applyNumberFormat="1" applyFont="1" applyFill="1" applyBorder="1" applyAlignment="1" applyProtection="1">
      <alignment horizontal="left" vertical="center"/>
      <protection locked="0"/>
    </xf>
    <xf numFmtId="49" fontId="17" fillId="22" borderId="59" xfId="61" applyNumberFormat="1" applyFont="1" applyFill="1" applyBorder="1" applyAlignment="1" applyProtection="1">
      <alignment horizontal="left" vertical="center"/>
      <protection locked="0"/>
    </xf>
    <xf numFmtId="49" fontId="17" fillId="0" borderId="44" xfId="61" applyNumberFormat="1" applyFont="1" applyBorder="1" applyAlignment="1" applyProtection="1">
      <alignment horizontal="left" vertical="center"/>
      <protection locked="0"/>
    </xf>
    <xf numFmtId="49" fontId="17" fillId="0" borderId="59" xfId="61" applyNumberFormat="1" applyFont="1" applyBorder="1" applyAlignment="1" applyProtection="1">
      <alignment horizontal="left" vertical="center"/>
      <protection locked="0"/>
    </xf>
    <xf numFmtId="49" fontId="17" fillId="0" borderId="44" xfId="0" applyNumberFormat="1" applyFont="1" applyBorder="1" applyAlignment="1" applyProtection="1">
      <alignment horizontal="left" vertical="center"/>
      <protection locked="0"/>
    </xf>
    <xf numFmtId="49" fontId="17" fillId="0" borderId="59" xfId="0" applyNumberFormat="1" applyFont="1" applyBorder="1" applyAlignment="1" applyProtection="1">
      <alignment horizontal="left" vertical="center"/>
      <protection locked="0"/>
    </xf>
    <xf numFmtId="49" fontId="11" fillId="0" borderId="44" xfId="36" applyNumberFormat="1" applyFill="1" applyBorder="1" applyAlignment="1" applyProtection="1">
      <alignment horizontal="left" vertical="center"/>
      <protection locked="0"/>
    </xf>
    <xf numFmtId="49" fontId="17" fillId="0" borderId="59" xfId="59" applyNumberFormat="1" applyFont="1" applyFill="1" applyBorder="1" applyAlignment="1" applyProtection="1">
      <alignment horizontal="left" vertical="center"/>
      <protection locked="0"/>
    </xf>
    <xf numFmtId="49" fontId="17" fillId="0" borderId="44" xfId="0" applyNumberFormat="1" applyFont="1" applyBorder="1" applyAlignment="1" applyProtection="1">
      <alignment horizontal="left" vertical="center"/>
      <protection locked="0"/>
    </xf>
    <xf numFmtId="49" fontId="17" fillId="0" borderId="59" xfId="0" applyNumberFormat="1" applyFont="1" applyBorder="1" applyAlignment="1" applyProtection="1">
      <alignment horizontal="left" vertical="center"/>
      <protection locked="0"/>
    </xf>
    <xf numFmtId="49" fontId="17" fillId="0" borderId="44" xfId="59" applyNumberFormat="1" applyFont="1" applyFill="1" applyBorder="1" applyAlignment="1" applyProtection="1">
      <alignment horizontal="left" vertical="center"/>
      <protection locked="0"/>
    </xf>
    <xf numFmtId="49" fontId="17" fillId="0" borderId="138" xfId="59" applyNumberFormat="1" applyFont="1" applyFill="1" applyBorder="1" applyAlignment="1" applyProtection="1">
      <alignment horizontal="left" vertical="center"/>
      <protection locked="0"/>
    </xf>
    <xf numFmtId="49" fontId="97" fillId="24" borderId="44" xfId="36" applyNumberFormat="1" applyFont="1" applyFill="1" applyBorder="1" applyAlignment="1" applyProtection="1">
      <alignment vertical="center"/>
      <protection locked="0"/>
    </xf>
    <xf numFmtId="49" fontId="17" fillId="24" borderId="138" xfId="0" applyNumberFormat="1" applyFont="1" applyFill="1" applyBorder="1" applyAlignment="1" applyProtection="1">
      <alignment vertical="center"/>
      <protection locked="0"/>
    </xf>
    <xf numFmtId="49" fontId="17" fillId="24" borderId="59" xfId="0" applyNumberFormat="1" applyFont="1" applyFill="1" applyBorder="1" applyAlignment="1" applyProtection="1">
      <alignment vertical="center"/>
      <protection locked="0"/>
    </xf>
    <xf numFmtId="173" fontId="22" fillId="0" borderId="0" xfId="61" applyFont="1" applyAlignment="1" applyProtection="1">
      <alignment horizontal="left" wrapText="1"/>
      <protection/>
    </xf>
    <xf numFmtId="173" fontId="13" fillId="28" borderId="0" xfId="61" applyFont="1" applyFill="1" applyBorder="1" applyAlignment="1" applyProtection="1">
      <alignment horizontal="left" vertical="center" wrapText="1"/>
      <protection/>
    </xf>
    <xf numFmtId="173" fontId="8" fillId="0" borderId="0" xfId="61" applyFont="1" applyBorder="1" applyAlignment="1" applyProtection="1">
      <alignment horizontal="left" wrapText="1"/>
      <protection/>
    </xf>
    <xf numFmtId="173" fontId="8" fillId="0" borderId="0" xfId="61" applyFont="1" applyBorder="1" applyAlignment="1" applyProtection="1">
      <alignment horizontal="left" wrapText="1"/>
      <protection/>
    </xf>
    <xf numFmtId="173" fontId="8" fillId="0" borderId="137" xfId="61" applyFont="1" applyBorder="1" applyAlignment="1" applyProtection="1">
      <alignment horizontal="left" wrapText="1"/>
      <protection/>
    </xf>
    <xf numFmtId="0" fontId="86" fillId="16" borderId="44" xfId="0" applyFont="1" applyFill="1" applyBorder="1" applyAlignment="1">
      <alignment horizontal="center" vertical="center" wrapText="1" readingOrder="1"/>
    </xf>
    <xf numFmtId="0" fontId="86" fillId="16" borderId="138" xfId="0" applyFont="1" applyFill="1" applyBorder="1" applyAlignment="1">
      <alignment horizontal="center" vertical="center" wrapText="1" readingOrder="1"/>
    </xf>
    <xf numFmtId="0" fontId="86" fillId="16" borderId="59" xfId="0" applyFont="1" applyFill="1" applyBorder="1" applyAlignment="1">
      <alignment horizontal="center" vertical="center" wrapText="1" readingOrder="1"/>
    </xf>
    <xf numFmtId="49" fontId="17" fillId="0" borderId="164" xfId="59" applyNumberFormat="1" applyFont="1" applyFill="1" applyBorder="1" applyAlignment="1" applyProtection="1">
      <alignment horizontal="left" vertical="center" wrapText="1"/>
      <protection locked="0"/>
    </xf>
    <xf numFmtId="49" fontId="17" fillId="0" borderId="137" xfId="59" applyNumberFormat="1" applyFont="1" applyFill="1" applyBorder="1" applyAlignment="1" applyProtection="1">
      <alignment horizontal="left" vertical="center" wrapText="1"/>
      <protection locked="0"/>
    </xf>
    <xf numFmtId="49" fontId="17" fillId="0" borderId="86" xfId="59" applyNumberFormat="1" applyFont="1" applyFill="1" applyBorder="1" applyAlignment="1" applyProtection="1">
      <alignment horizontal="left" vertical="center" wrapText="1"/>
      <protection locked="0"/>
    </xf>
    <xf numFmtId="49" fontId="17" fillId="0" borderId="24" xfId="59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59" applyNumberFormat="1" applyFont="1" applyFill="1" applyBorder="1" applyAlignment="1" applyProtection="1">
      <alignment horizontal="left" vertical="center" wrapText="1"/>
      <protection locked="0"/>
    </xf>
    <xf numFmtId="49" fontId="17" fillId="0" borderId="135" xfId="59" applyNumberFormat="1" applyFont="1" applyFill="1" applyBorder="1" applyAlignment="1" applyProtection="1">
      <alignment horizontal="left" vertical="center" wrapText="1"/>
      <protection locked="0"/>
    </xf>
    <xf numFmtId="49" fontId="17" fillId="0" borderId="58" xfId="59" applyNumberFormat="1" applyFont="1" applyFill="1" applyBorder="1" applyAlignment="1" applyProtection="1">
      <alignment horizontal="left" vertical="center" wrapText="1"/>
      <protection locked="0"/>
    </xf>
    <xf numFmtId="49" fontId="17" fillId="0" borderId="79" xfId="59" applyNumberFormat="1" applyFont="1" applyFill="1" applyBorder="1" applyAlignment="1" applyProtection="1">
      <alignment horizontal="left" vertical="center" wrapText="1"/>
      <protection locked="0"/>
    </xf>
    <xf numFmtId="49" fontId="17" fillId="0" borderId="81" xfId="59" applyNumberFormat="1" applyFont="1" applyFill="1" applyBorder="1" applyAlignment="1" applyProtection="1">
      <alignment horizontal="left" vertical="center" wrapText="1"/>
      <protection locked="0"/>
    </xf>
    <xf numFmtId="173" fontId="42" fillId="0" borderId="0" xfId="61" applyFont="1" applyFill="1" applyBorder="1" applyAlignment="1" applyProtection="1">
      <alignment horizontal="left" vertical="center"/>
      <protection/>
    </xf>
    <xf numFmtId="49" fontId="17" fillId="22" borderId="44" xfId="59" applyNumberFormat="1" applyFont="1" applyFill="1" applyBorder="1" applyAlignment="1" applyProtection="1">
      <alignment horizontal="left" vertical="center"/>
      <protection locked="0"/>
    </xf>
    <xf numFmtId="49" fontId="17" fillId="22" borderId="138" xfId="59" applyNumberFormat="1" applyFont="1" applyFill="1" applyBorder="1" applyAlignment="1" applyProtection="1">
      <alignment horizontal="left" vertical="center"/>
      <protection locked="0"/>
    </xf>
    <xf numFmtId="49" fontId="17" fillId="22" borderId="59" xfId="59" applyNumberFormat="1" applyFont="1" applyFill="1" applyBorder="1" applyAlignment="1" applyProtection="1">
      <alignment horizontal="left" vertical="center"/>
      <protection locked="0"/>
    </xf>
    <xf numFmtId="173" fontId="42" fillId="0" borderId="0" xfId="61" applyFont="1" applyFill="1" applyBorder="1" applyAlignment="1" applyProtection="1">
      <alignment horizontal="center" vertical="center"/>
      <protection/>
    </xf>
    <xf numFmtId="173" fontId="62" fillId="24" borderId="0" xfId="61" applyFont="1" applyFill="1" applyAlignment="1" applyProtection="1">
      <alignment horizontal="center" vertical="center" wrapText="1"/>
      <protection/>
    </xf>
    <xf numFmtId="173" fontId="63" fillId="24" borderId="57" xfId="61" applyFont="1" applyFill="1" applyBorder="1" applyAlignment="1" applyProtection="1">
      <alignment horizontal="center" vertical="center" wrapText="1"/>
      <protection/>
    </xf>
    <xf numFmtId="173" fontId="30" fillId="24" borderId="57" xfId="61" applyFont="1" applyFill="1" applyBorder="1" applyAlignment="1" applyProtection="1">
      <alignment horizontal="center" vertical="center" wrapText="1"/>
      <protection/>
    </xf>
    <xf numFmtId="173" fontId="63" fillId="24" borderId="135" xfId="61" applyFont="1" applyFill="1" applyBorder="1" applyAlignment="1" applyProtection="1">
      <alignment horizontal="center" vertical="top" wrapText="1"/>
      <protection/>
    </xf>
    <xf numFmtId="0" fontId="0" fillId="0" borderId="135" xfId="0" applyBorder="1" applyAlignment="1">
      <alignment horizontal="center" vertical="top" wrapText="1"/>
    </xf>
    <xf numFmtId="173" fontId="22" fillId="24" borderId="0" xfId="61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61" fillId="0" borderId="161" xfId="0" applyFont="1" applyBorder="1" applyAlignment="1" applyProtection="1">
      <alignment horizontal="center" vertical="center" wrapText="1"/>
      <protection/>
    </xf>
    <xf numFmtId="0" fontId="61" fillId="0" borderId="165" xfId="0" applyFont="1" applyBorder="1" applyAlignment="1" applyProtection="1">
      <alignment horizontal="center" vertical="center" wrapText="1"/>
      <protection/>
    </xf>
    <xf numFmtId="0" fontId="61" fillId="0" borderId="102" xfId="0" applyFont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87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0" fillId="0" borderId="44" xfId="0" applyNumberFormat="1" applyFill="1" applyBorder="1" applyAlignment="1" applyProtection="1">
      <alignment horizontal="left" vertical="top" wrapText="1"/>
      <protection locked="0"/>
    </xf>
    <xf numFmtId="0" fontId="0" fillId="0" borderId="138" xfId="0" applyNumberFormat="1" applyFill="1" applyBorder="1" applyAlignment="1" applyProtection="1">
      <alignment horizontal="left" vertical="top" wrapText="1"/>
      <protection locked="0"/>
    </xf>
    <xf numFmtId="0" fontId="0" fillId="0" borderId="59" xfId="0" applyNumberFormat="1" applyFill="1" applyBorder="1" applyAlignment="1" applyProtection="1">
      <alignment horizontal="left" vertical="top" wrapText="1"/>
      <protection locked="0"/>
    </xf>
    <xf numFmtId="0" fontId="26" fillId="0" borderId="23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4" fillId="0" borderId="41" xfId="0" applyFont="1" applyFill="1" applyBorder="1" applyAlignment="1" applyProtection="1">
      <alignment horizontal="center" vertical="center"/>
      <protection/>
    </xf>
    <xf numFmtId="0" fontId="14" fillId="0" borderId="118" xfId="0" applyFont="1" applyFill="1" applyBorder="1" applyAlignment="1" applyProtection="1">
      <alignment horizontal="center" vertical="center"/>
      <protection/>
    </xf>
    <xf numFmtId="0" fontId="8" fillId="0" borderId="116" xfId="0" applyFont="1" applyBorder="1" applyAlignment="1">
      <alignment horizontal="left" vertical="center" wrapText="1"/>
    </xf>
    <xf numFmtId="0" fontId="25" fillId="24" borderId="82" xfId="0" applyFont="1" applyFill="1" applyBorder="1" applyAlignment="1">
      <alignment horizontal="center" wrapText="1"/>
    </xf>
    <xf numFmtId="0" fontId="25" fillId="24" borderId="34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left" vertical="center"/>
    </xf>
    <xf numFmtId="0" fontId="25" fillId="24" borderId="34" xfId="0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0" fontId="25" fillId="24" borderId="88" xfId="0" applyFont="1" applyFill="1" applyBorder="1" applyAlignment="1">
      <alignment horizontal="center" vertical="center" wrapText="1"/>
    </xf>
    <xf numFmtId="0" fontId="25" fillId="24" borderId="55" xfId="0" applyFont="1" applyFill="1" applyBorder="1" applyAlignment="1">
      <alignment horizontal="center" vertical="center" wrapText="1"/>
    </xf>
    <xf numFmtId="0" fontId="25" fillId="24" borderId="80" xfId="0" applyFont="1" applyFill="1" applyBorder="1" applyAlignment="1">
      <alignment horizontal="center" vertical="center" wrapText="1"/>
    </xf>
    <xf numFmtId="0" fontId="25" fillId="24" borderId="82" xfId="0" applyFont="1" applyFill="1" applyBorder="1" applyAlignment="1">
      <alignment horizontal="center" vertical="center" wrapText="1"/>
    </xf>
    <xf numFmtId="0" fontId="25" fillId="24" borderId="78" xfId="0" applyFont="1" applyFill="1" applyBorder="1" applyAlignment="1">
      <alignment horizontal="center" vertical="center" wrapText="1"/>
    </xf>
    <xf numFmtId="0" fontId="25" fillId="24" borderId="78" xfId="0" applyFont="1" applyFill="1" applyBorder="1" applyAlignment="1">
      <alignment horizontal="center" wrapText="1"/>
    </xf>
    <xf numFmtId="0" fontId="25" fillId="24" borderId="44" xfId="0" applyFont="1" applyFill="1" applyBorder="1" applyAlignment="1">
      <alignment horizontal="center" wrapText="1"/>
    </xf>
    <xf numFmtId="0" fontId="25" fillId="24" borderId="59" xfId="0" applyFont="1" applyFill="1" applyBorder="1" applyAlignment="1">
      <alignment horizontal="center" wrapText="1"/>
    </xf>
    <xf numFmtId="0" fontId="7" fillId="24" borderId="34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left" vertical="top" wrapText="1"/>
      <protection/>
    </xf>
    <xf numFmtId="0" fontId="25" fillId="0" borderId="116" xfId="0" applyFont="1" applyBorder="1" applyAlignment="1">
      <alignment horizontal="left" vertical="center" wrapText="1"/>
    </xf>
    <xf numFmtId="0" fontId="21" fillId="24" borderId="18" xfId="63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21" fillId="24" borderId="41" xfId="63" applyFont="1" applyFill="1" applyBorder="1" applyAlignment="1" applyProtection="1">
      <alignment horizontal="center" vertical="center"/>
      <protection/>
    </xf>
    <xf numFmtId="0" fontId="9" fillId="24" borderId="37" xfId="64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21" fillId="24" borderId="43" xfId="63" applyFont="1" applyFill="1" applyBorder="1" applyAlignment="1" applyProtection="1">
      <alignment horizontal="center" vertical="center"/>
      <protection/>
    </xf>
    <xf numFmtId="0" fontId="14" fillId="0" borderId="98" xfId="63" applyFont="1" applyFill="1" applyBorder="1" applyAlignment="1" applyProtection="1">
      <alignment horizontal="center" vertical="center"/>
      <protection/>
    </xf>
    <xf numFmtId="0" fontId="14" fillId="0" borderId="90" xfId="63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126" xfId="0" applyFont="1" applyFill="1" applyBorder="1" applyAlignment="1" applyProtection="1">
      <alignment horizontal="center" vertical="center" wrapText="1"/>
      <protection/>
    </xf>
    <xf numFmtId="0" fontId="8" fillId="0" borderId="163" xfId="0" applyFont="1" applyFill="1" applyBorder="1" applyAlignment="1" applyProtection="1">
      <alignment horizontal="center" vertical="center"/>
      <protection/>
    </xf>
    <xf numFmtId="0" fontId="21" fillId="0" borderId="19" xfId="63" applyFont="1" applyFill="1" applyBorder="1" applyAlignment="1" applyProtection="1">
      <alignment horizontal="center" vertical="center" wrapText="1"/>
      <protection/>
    </xf>
    <xf numFmtId="0" fontId="21" fillId="0" borderId="20" xfId="63" applyFont="1" applyFill="1" applyBorder="1" applyAlignment="1" applyProtection="1">
      <alignment horizontal="center" vertical="center" wrapText="1"/>
      <protection/>
    </xf>
    <xf numFmtId="0" fontId="21" fillId="0" borderId="104" xfId="63" applyFont="1" applyFill="1" applyBorder="1" applyAlignment="1" applyProtection="1">
      <alignment horizontal="center" vertical="center" wrapText="1"/>
      <protection/>
    </xf>
    <xf numFmtId="0" fontId="21" fillId="0" borderId="113" xfId="63" applyFont="1" applyFill="1" applyBorder="1" applyAlignment="1" applyProtection="1">
      <alignment horizontal="center" vertical="center" wrapText="1"/>
      <protection/>
    </xf>
    <xf numFmtId="0" fontId="21" fillId="0" borderId="112" xfId="63" applyFont="1" applyFill="1" applyBorder="1" applyAlignment="1" applyProtection="1">
      <alignment horizontal="center" vertical="center" wrapText="1"/>
      <protection/>
    </xf>
    <xf numFmtId="0" fontId="21" fillId="0" borderId="70" xfId="63" applyFont="1" applyFill="1" applyBorder="1" applyAlignment="1" applyProtection="1">
      <alignment horizontal="center" vertical="center" wrapText="1"/>
      <protection/>
    </xf>
    <xf numFmtId="0" fontId="21" fillId="0" borderId="18" xfId="64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21" fillId="0" borderId="19" xfId="64" applyFont="1" applyFill="1" applyBorder="1" applyAlignment="1" applyProtection="1">
      <alignment horizontal="center" vertical="center" wrapText="1"/>
      <protection/>
    </xf>
    <xf numFmtId="0" fontId="21" fillId="0" borderId="20" xfId="64" applyFont="1" applyFill="1" applyBorder="1" applyAlignment="1" applyProtection="1">
      <alignment horizontal="center" vertical="center" wrapText="1"/>
      <protection/>
    </xf>
    <xf numFmtId="0" fontId="21" fillId="0" borderId="104" xfId="64" applyFont="1" applyFill="1" applyBorder="1" applyAlignment="1" applyProtection="1">
      <alignment horizontal="center" vertical="center" wrapText="1"/>
      <protection/>
    </xf>
    <xf numFmtId="0" fontId="21" fillId="0" borderId="113" xfId="64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21" fillId="0" borderId="19" xfId="64" applyFont="1" applyFill="1" applyBorder="1" applyAlignment="1" applyProtection="1">
      <alignment horizontal="center" vertical="center"/>
      <protection/>
    </xf>
    <xf numFmtId="0" fontId="21" fillId="0" borderId="112" xfId="64" applyFont="1" applyFill="1" applyBorder="1" applyAlignment="1" applyProtection="1">
      <alignment horizontal="center" vertical="center"/>
      <protection/>
    </xf>
    <xf numFmtId="0" fontId="21" fillId="0" borderId="104" xfId="64" applyFont="1" applyFill="1" applyBorder="1" applyAlignment="1" applyProtection="1">
      <alignment horizontal="center" vertical="center"/>
      <protection/>
    </xf>
    <xf numFmtId="0" fontId="21" fillId="0" borderId="70" xfId="64" applyFont="1" applyFill="1" applyBorder="1" applyAlignment="1" applyProtection="1">
      <alignment horizontal="center" vertical="center"/>
      <protection/>
    </xf>
    <xf numFmtId="0" fontId="9" fillId="0" borderId="18" xfId="65" applyFont="1" applyFill="1" applyBorder="1" applyAlignment="1" applyProtection="1">
      <alignment horizontal="center" vertical="center"/>
      <protection/>
    </xf>
    <xf numFmtId="0" fontId="9" fillId="0" borderId="36" xfId="65" applyFont="1" applyFill="1" applyBorder="1" applyAlignment="1" applyProtection="1">
      <alignment horizontal="center" vertical="center"/>
      <protection/>
    </xf>
    <xf numFmtId="0" fontId="9" fillId="0" borderId="18" xfId="66" applyFont="1" applyFill="1" applyBorder="1" applyAlignment="1" applyProtection="1">
      <alignment horizontal="center" vertical="center"/>
      <protection/>
    </xf>
    <xf numFmtId="0" fontId="9" fillId="0" borderId="42" xfId="66" applyFont="1" applyFill="1" applyBorder="1" applyAlignment="1" applyProtection="1">
      <alignment horizontal="center" vertical="center"/>
      <protection/>
    </xf>
    <xf numFmtId="0" fontId="9" fillId="0" borderId="36" xfId="66" applyFont="1" applyFill="1" applyBorder="1" applyAlignment="1" applyProtection="1">
      <alignment horizontal="center" vertical="center"/>
      <protection/>
    </xf>
    <xf numFmtId="0" fontId="18" fillId="0" borderId="166" xfId="67" applyFont="1" applyFill="1" applyBorder="1" applyAlignment="1" applyProtection="1">
      <alignment horizontal="center" vertical="center" wrapText="1"/>
      <protection/>
    </xf>
    <xf numFmtId="0" fontId="18" fillId="0" borderId="129" xfId="67" applyFont="1" applyFill="1" applyBorder="1" applyAlignment="1" applyProtection="1">
      <alignment horizontal="center" vertical="center" wrapText="1"/>
      <protection/>
    </xf>
    <xf numFmtId="0" fontId="18" fillId="0" borderId="166" xfId="67" applyFont="1" applyFill="1" applyBorder="1" applyAlignment="1">
      <alignment horizontal="center" vertical="center" wrapText="1"/>
      <protection/>
    </xf>
    <xf numFmtId="0" fontId="18" fillId="0" borderId="129" xfId="67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 wrapText="1"/>
    </xf>
    <xf numFmtId="0" fontId="54" fillId="0" borderId="116" xfId="0" applyFont="1" applyBorder="1" applyAlignment="1">
      <alignment horizontal="center" wrapText="1"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18" fillId="0" borderId="104" xfId="68" applyFont="1" applyFill="1" applyBorder="1" applyAlignment="1" applyProtection="1">
      <alignment horizontal="center" vertical="center" wrapText="1"/>
      <protection locked="0"/>
    </xf>
    <xf numFmtId="0" fontId="0" fillId="0" borderId="113" xfId="0" applyBorder="1" applyAlignment="1">
      <alignment/>
    </xf>
    <xf numFmtId="0" fontId="18" fillId="0" borderId="19" xfId="68" applyFont="1" applyFill="1" applyBorder="1" applyAlignment="1" applyProtection="1">
      <alignment horizontal="center" vertical="center" wrapText="1"/>
      <protection/>
    </xf>
    <xf numFmtId="0" fontId="18" fillId="0" borderId="104" xfId="68" applyFont="1" applyFill="1" applyBorder="1" applyAlignment="1" applyProtection="1">
      <alignment horizontal="center" vertical="center" wrapText="1"/>
      <protection/>
    </xf>
    <xf numFmtId="0" fontId="18" fillId="0" borderId="113" xfId="68" applyFont="1" applyFill="1" applyBorder="1" applyAlignment="1" applyProtection="1">
      <alignment horizontal="center" vertical="center" wrapText="1"/>
      <protection/>
    </xf>
    <xf numFmtId="0" fontId="9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8" fillId="0" borderId="19" xfId="68" applyFont="1" applyBorder="1" applyAlignment="1">
      <alignment horizontal="center" vertical="center" wrapText="1"/>
      <protection/>
    </xf>
    <xf numFmtId="0" fontId="18" fillId="0" borderId="19" xfId="68" applyFont="1" applyFill="1" applyBorder="1" applyAlignment="1" applyProtection="1">
      <alignment horizontal="center" vertical="center" wrapText="1"/>
      <protection/>
    </xf>
    <xf numFmtId="0" fontId="130" fillId="0" borderId="116" xfId="0" applyFont="1" applyBorder="1" applyAlignment="1">
      <alignment horizontal="center" vertical="center" wrapText="1"/>
    </xf>
    <xf numFmtId="0" fontId="0" fillId="0" borderId="147" xfId="0" applyBorder="1" applyAlignment="1" applyProtection="1">
      <alignment vertical="top" wrapText="1"/>
      <protection locked="0"/>
    </xf>
    <xf numFmtId="0" fontId="0" fillId="0" borderId="157" xfId="0" applyBorder="1" applyAlignment="1" applyProtection="1">
      <alignment vertical="top" wrapText="1"/>
      <protection locked="0"/>
    </xf>
    <xf numFmtId="0" fontId="0" fillId="0" borderId="72" xfId="0" applyBorder="1" applyAlignment="1" applyProtection="1">
      <alignment vertical="top" wrapText="1"/>
      <protection locked="0"/>
    </xf>
    <xf numFmtId="0" fontId="26" fillId="0" borderId="45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127" fillId="0" borderId="165" xfId="0" applyFont="1" applyBorder="1" applyAlignment="1">
      <alignment horizontal="center"/>
    </xf>
    <xf numFmtId="0" fontId="135" fillId="0" borderId="23" xfId="0" applyFont="1" applyBorder="1" applyAlignment="1">
      <alignment horizontal="left" vertical="center" wrapText="1"/>
    </xf>
    <xf numFmtId="0" fontId="13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35" fillId="0" borderId="150" xfId="52" applyFont="1" applyFill="1" applyBorder="1" applyAlignment="1" applyProtection="1">
      <alignment horizontal="center" vertical="center" wrapText="1"/>
      <protection/>
    </xf>
    <xf numFmtId="0" fontId="0" fillId="0" borderId="158" xfId="52" applyFont="1" applyFill="1" applyBorder="1" applyAlignment="1">
      <alignment wrapText="1"/>
      <protection/>
    </xf>
    <xf numFmtId="0" fontId="0" fillId="0" borderId="167" xfId="52" applyFont="1" applyFill="1" applyBorder="1" applyAlignment="1">
      <alignment wrapText="1"/>
      <protection/>
    </xf>
    <xf numFmtId="0" fontId="103" fillId="0" borderId="150" xfId="52" applyFont="1" applyBorder="1" applyAlignment="1" applyProtection="1">
      <alignment horizontal="center" vertical="center" wrapText="1"/>
      <protection/>
    </xf>
    <xf numFmtId="0" fontId="125" fillId="0" borderId="158" xfId="55" applyBorder="1" applyAlignment="1">
      <alignment wrapText="1"/>
      <protection/>
    </xf>
    <xf numFmtId="0" fontId="125" fillId="0" borderId="167" xfId="55" applyBorder="1" applyAlignment="1">
      <alignment wrapText="1"/>
      <protection/>
    </xf>
    <xf numFmtId="0" fontId="0" fillId="0" borderId="0" xfId="0" applyAlignment="1" applyProtection="1">
      <alignment/>
      <protection/>
    </xf>
    <xf numFmtId="0" fontId="136" fillId="0" borderId="116" xfId="0" applyFont="1" applyBorder="1" applyAlignment="1" applyProtection="1">
      <alignment horizontal="right" vertical="top" wrapText="1"/>
      <protection/>
    </xf>
    <xf numFmtId="0" fontId="137" fillId="0" borderId="116" xfId="0" applyFont="1" applyBorder="1" applyAlignment="1" applyProtection="1">
      <alignment horizontal="right"/>
      <protection/>
    </xf>
    <xf numFmtId="3" fontId="17" fillId="0" borderId="148" xfId="0" applyNumberFormat="1" applyFont="1" applyFill="1" applyBorder="1" applyAlignment="1" applyProtection="1">
      <alignment/>
      <protection locked="0"/>
    </xf>
    <xf numFmtId="3" fontId="17" fillId="0" borderId="57" xfId="0" applyNumberFormat="1" applyFont="1" applyFill="1" applyBorder="1" applyAlignment="1" applyProtection="1">
      <alignment/>
      <protection locked="0"/>
    </xf>
    <xf numFmtId="3" fontId="17" fillId="0" borderId="51" xfId="0" applyNumberFormat="1" applyFont="1" applyFill="1" applyBorder="1" applyAlignment="1" applyProtection="1">
      <alignment/>
      <protection locked="0"/>
    </xf>
    <xf numFmtId="0" fontId="17" fillId="0" borderId="149" xfId="0" applyNumberFormat="1" applyFont="1" applyFill="1" applyBorder="1" applyAlignment="1" applyProtection="1">
      <alignment wrapText="1"/>
      <protection locked="0"/>
    </xf>
    <xf numFmtId="0" fontId="17" fillId="0" borderId="168" xfId="0" applyNumberFormat="1" applyFont="1" applyFill="1" applyBorder="1" applyAlignment="1" applyProtection="1">
      <alignment wrapText="1"/>
      <protection locked="0"/>
    </xf>
    <xf numFmtId="0" fontId="17" fillId="0" borderId="92" xfId="0" applyNumberFormat="1" applyFont="1" applyFill="1" applyBorder="1" applyAlignment="1" applyProtection="1">
      <alignment wrapText="1"/>
      <protection locked="0"/>
    </xf>
    <xf numFmtId="0" fontId="8" fillId="0" borderId="44" xfId="0" applyFont="1" applyBorder="1" applyAlignment="1">
      <alignment horizontal="center"/>
    </xf>
    <xf numFmtId="0" fontId="8" fillId="0" borderId="13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25" fillId="0" borderId="0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wrapText="1"/>
    </xf>
    <xf numFmtId="0" fontId="8" fillId="0" borderId="138" xfId="0" applyFont="1" applyBorder="1" applyAlignment="1">
      <alignment horizontal="center" wrapText="1"/>
    </xf>
    <xf numFmtId="0" fontId="8" fillId="0" borderId="59" xfId="0" applyFont="1" applyBorder="1" applyAlignment="1">
      <alignment horizontal="center" wrapText="1"/>
    </xf>
    <xf numFmtId="0" fontId="8" fillId="0" borderId="44" xfId="0" applyFont="1" applyBorder="1" applyAlignment="1">
      <alignment horizontal="center"/>
    </xf>
    <xf numFmtId="0" fontId="8" fillId="0" borderId="13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22" fillId="0" borderId="161" xfId="0" applyFont="1" applyBorder="1" applyAlignment="1">
      <alignment horizontal="left" wrapText="1"/>
    </xf>
    <xf numFmtId="0" fontId="22" fillId="0" borderId="165" xfId="0" applyFont="1" applyBorder="1" applyAlignment="1">
      <alignment horizontal="left" wrapText="1"/>
    </xf>
    <xf numFmtId="0" fontId="22" fillId="0" borderId="102" xfId="0" applyFont="1" applyBorder="1" applyAlignment="1">
      <alignment horizontal="left" wrapText="1"/>
    </xf>
    <xf numFmtId="10" fontId="6" fillId="0" borderId="169" xfId="71" applyNumberFormat="1" applyFont="1" applyBorder="1" applyAlignment="1">
      <alignment horizontal="center" vertical="center" wrapText="1"/>
    </xf>
    <xf numFmtId="10" fontId="6" fillId="0" borderId="158" xfId="71" applyNumberFormat="1" applyFont="1" applyBorder="1" applyAlignment="1">
      <alignment horizontal="center" vertical="center" wrapText="1"/>
    </xf>
    <xf numFmtId="10" fontId="6" fillId="0" borderId="167" xfId="71" applyNumberFormat="1" applyFont="1" applyBorder="1" applyAlignment="1">
      <alignment horizontal="center" vertical="center" wrapText="1"/>
    </xf>
    <xf numFmtId="0" fontId="14" fillId="0" borderId="147" xfId="0" applyFont="1" applyBorder="1" applyAlignment="1">
      <alignment horizontal="right"/>
    </xf>
    <xf numFmtId="0" fontId="14" fillId="0" borderId="157" xfId="0" applyFont="1" applyBorder="1" applyAlignment="1">
      <alignment horizontal="right"/>
    </xf>
    <xf numFmtId="0" fontId="14" fillId="0" borderId="146" xfId="0" applyFont="1" applyBorder="1" applyAlignment="1">
      <alignment horizontal="right"/>
    </xf>
    <xf numFmtId="0" fontId="22" fillId="0" borderId="161" xfId="0" applyFont="1" applyBorder="1" applyAlignment="1">
      <alignment horizontal="left" vertical="top" wrapText="1"/>
    </xf>
    <xf numFmtId="0" fontId="22" fillId="0" borderId="165" xfId="0" applyFont="1" applyBorder="1" applyAlignment="1">
      <alignment horizontal="left" vertical="top" wrapText="1"/>
    </xf>
    <xf numFmtId="0" fontId="22" fillId="0" borderId="102" xfId="0" applyFont="1" applyBorder="1" applyAlignment="1">
      <alignment horizontal="left" vertical="top" wrapText="1"/>
    </xf>
    <xf numFmtId="0" fontId="6" fillId="0" borderId="161" xfId="0" applyFont="1" applyFill="1" applyBorder="1" applyAlignment="1">
      <alignment horizontal="center" vertical="center"/>
    </xf>
    <xf numFmtId="0" fontId="6" fillId="0" borderId="165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61" xfId="0" applyFont="1" applyBorder="1" applyAlignment="1">
      <alignment horizontal="center" vertical="center" wrapText="1"/>
    </xf>
    <xf numFmtId="0" fontId="0" fillId="0" borderId="165" xfId="0" applyFont="1" applyBorder="1" applyAlignment="1">
      <alignment horizontal="center" vertical="center"/>
    </xf>
    <xf numFmtId="3" fontId="34" fillId="0" borderId="170" xfId="0" applyNumberFormat="1" applyFont="1" applyBorder="1" applyAlignment="1">
      <alignment horizontal="center"/>
    </xf>
    <xf numFmtId="0" fontId="0" fillId="0" borderId="165" xfId="0" applyFont="1" applyBorder="1" applyAlignment="1">
      <alignment/>
    </xf>
    <xf numFmtId="0" fontId="0" fillId="0" borderId="102" xfId="0" applyFont="1" applyBorder="1" applyAlignment="1">
      <alignment/>
    </xf>
    <xf numFmtId="0" fontId="14" fillId="0" borderId="161" xfId="0" applyFont="1" applyFill="1" applyBorder="1" applyAlignment="1">
      <alignment horizontal="center" vertical="center" wrapText="1"/>
    </xf>
    <xf numFmtId="0" fontId="14" fillId="0" borderId="165" xfId="0" applyFont="1" applyFill="1" applyBorder="1" applyAlignment="1">
      <alignment horizontal="center" vertical="center" wrapText="1"/>
    </xf>
    <xf numFmtId="0" fontId="14" fillId="0" borderId="10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5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3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165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6" fillId="0" borderId="165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/>
    </xf>
    <xf numFmtId="0" fontId="0" fillId="0" borderId="163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154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Alignment="1">
      <alignment horizontal="left" wrapText="1"/>
    </xf>
    <xf numFmtId="0" fontId="22" fillId="24" borderId="45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120" xfId="0" applyFont="1" applyFill="1" applyBorder="1" applyAlignment="1">
      <alignment horizontal="center" vertical="center" wrapText="1"/>
    </xf>
    <xf numFmtId="0" fontId="22" fillId="24" borderId="121" xfId="0" applyFont="1" applyFill="1" applyBorder="1" applyAlignment="1">
      <alignment horizontal="center" vertical="center" wrapText="1"/>
    </xf>
    <xf numFmtId="0" fontId="22" fillId="24" borderId="124" xfId="0" applyFont="1" applyFill="1" applyBorder="1" applyAlignment="1">
      <alignment horizontal="center" vertical="center" wrapText="1"/>
    </xf>
    <xf numFmtId="0" fontId="22" fillId="0" borderId="79" xfId="0" applyFont="1" applyBorder="1" applyAlignment="1">
      <alignment horizontal="center" wrapText="1"/>
    </xf>
    <xf numFmtId="0" fontId="0" fillId="24" borderId="0" xfId="0" applyFill="1" applyAlignment="1" applyProtection="1">
      <alignment/>
      <protection locked="0"/>
    </xf>
  </cellXfs>
  <cellStyles count="7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Logico" xfId="46"/>
    <cellStyle name="Comma" xfId="47"/>
    <cellStyle name="Migliaia (0)_3tabella15" xfId="48"/>
    <cellStyle name="Comma [0]" xfId="49"/>
    <cellStyle name="Migliaia 2" xfId="50"/>
    <cellStyle name="Neutrale" xfId="51"/>
    <cellStyle name="Normale 2" xfId="52"/>
    <cellStyle name="Normale 2 2 2" xfId="53"/>
    <cellStyle name="Normale 2 3" xfId="54"/>
    <cellStyle name="Normale 3" xfId="55"/>
    <cellStyle name="Normale 4" xfId="56"/>
    <cellStyle name="Normale 4 2" xfId="57"/>
    <cellStyle name="Normale 5" xfId="58"/>
    <cellStyle name="Normale_ENTI LOCALI  2000" xfId="59"/>
    <cellStyle name="Normale_MINISTERI" xfId="60"/>
    <cellStyle name="Normale_PRINFEL98" xfId="61"/>
    <cellStyle name="Normale_Prospetto informativo 2001" xfId="62"/>
    <cellStyle name="Normale_tabella 4" xfId="63"/>
    <cellStyle name="Normale_tabella 5" xfId="64"/>
    <cellStyle name="Normale_tabella 6" xfId="65"/>
    <cellStyle name="Normale_tabella 7" xfId="66"/>
    <cellStyle name="Normale_tabella 8" xfId="67"/>
    <cellStyle name="Normale_tabella 9" xfId="68"/>
    <cellStyle name="Nota" xfId="69"/>
    <cellStyle name="Output" xfId="70"/>
    <cellStyle name="Percent" xfId="71"/>
    <cellStyle name="Percentuale 2" xfId="72"/>
    <cellStyle name="Percentuale 2 2" xfId="73"/>
    <cellStyle name="Testo avviso" xfId="74"/>
    <cellStyle name="Testo descrittivo" xfId="75"/>
    <cellStyle name="Titolo" xfId="76"/>
    <cellStyle name="Titolo 1" xfId="77"/>
    <cellStyle name="Titolo 2" xfId="78"/>
    <cellStyle name="Titolo 3" xfId="79"/>
    <cellStyle name="Titolo 4" xfId="80"/>
    <cellStyle name="Totale" xfId="81"/>
    <cellStyle name="Valore non valido" xfId="82"/>
    <cellStyle name="Valore valido" xfId="83"/>
    <cellStyle name="Currency" xfId="84"/>
    <cellStyle name="Valuta (0)_3tabella15" xfId="85"/>
    <cellStyle name="Currency [0]" xfId="86"/>
  </cellStyles>
  <dxfs count="29"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675"/>
          <c:w val="0.999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SI_1!$B$169:$B$186</c:f>
              <c:strCache/>
            </c:strRef>
          </c:cat>
          <c:val>
            <c:numRef>
              <c:f>SI_1!$C$169:$C$186</c:f>
              <c:numCache/>
            </c:numRef>
          </c:val>
        </c:ser>
        <c:axId val="48137284"/>
        <c:axId val="30582373"/>
      </c:barChart>
      <c:catAx>
        <c:axId val="48137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0582373"/>
        <c:crossesAt val="0"/>
        <c:auto val="1"/>
        <c:lblOffset val="100"/>
        <c:tickLblSkip val="1"/>
        <c:noMultiLvlLbl val="0"/>
      </c:catAx>
      <c:valAx>
        <c:axId val="30582373"/>
        <c:scaling>
          <c:orientation val="minMax"/>
          <c:max val="1"/>
        </c:scaling>
        <c:axPos val="l"/>
        <c:delete val="1"/>
        <c:majorTickMark val="out"/>
        <c:minorTickMark val="none"/>
        <c:tickLblPos val="none"/>
        <c:crossAx val="4813728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96"/>
          <c:w val="0.98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SI_1!$E$169:$E$187</c:f>
              <c:strCache/>
            </c:strRef>
          </c:cat>
          <c:val>
            <c:numRef>
              <c:f>SI_1!$F$169:$F$187</c:f>
              <c:numCache/>
            </c:numRef>
          </c:val>
        </c:ser>
        <c:axId val="6805902"/>
        <c:axId val="61253119"/>
      </c:barChart>
      <c:catAx>
        <c:axId val="680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1253119"/>
        <c:crosses val="autoZero"/>
        <c:auto val="1"/>
        <c:lblOffset val="100"/>
        <c:tickLblSkip val="1"/>
        <c:noMultiLvlLbl val="0"/>
      </c:catAx>
      <c:valAx>
        <c:axId val="61253119"/>
        <c:scaling>
          <c:orientation val="minMax"/>
        </c:scaling>
        <c:axPos val="l"/>
        <c:delete val="1"/>
        <c:majorTickMark val="out"/>
        <c:minorTickMark val="none"/>
        <c:tickLblPos val="none"/>
        <c:crossAx val="6805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163</xdr:row>
      <xdr:rowOff>0</xdr:rowOff>
    </xdr:from>
    <xdr:ext cx="104775" cy="190500"/>
    <xdr:sp fLocksText="0">
      <xdr:nvSpPr>
        <xdr:cNvPr id="1" name="Text Box 7"/>
        <xdr:cNvSpPr txBox="1">
          <a:spLocks noChangeArrowheads="1"/>
        </xdr:cNvSpPr>
      </xdr:nvSpPr>
      <xdr:spPr>
        <a:xfrm>
          <a:off x="4800600" y="1743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3</xdr:col>
      <xdr:colOff>609600</xdr:colOff>
      <xdr:row>31</xdr:row>
      <xdr:rowOff>0</xdr:rowOff>
    </xdr:from>
    <xdr:to>
      <xdr:col>3</xdr:col>
      <xdr:colOff>609600</xdr:colOff>
      <xdr:row>31</xdr:row>
      <xdr:rowOff>0</xdr:rowOff>
    </xdr:to>
    <xdr:sp>
      <xdr:nvSpPr>
        <xdr:cNvPr id="2" name="Line 8"/>
        <xdr:cNvSpPr>
          <a:spLocks/>
        </xdr:cNvSpPr>
      </xdr:nvSpPr>
      <xdr:spPr>
        <a:xfrm>
          <a:off x="4238625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31</xdr:row>
      <xdr:rowOff>0</xdr:rowOff>
    </xdr:from>
    <xdr:to>
      <xdr:col>5</xdr:col>
      <xdr:colOff>685800</xdr:colOff>
      <xdr:row>31</xdr:row>
      <xdr:rowOff>0</xdr:rowOff>
    </xdr:to>
    <xdr:sp>
      <xdr:nvSpPr>
        <xdr:cNvPr id="3" name="Line 9"/>
        <xdr:cNvSpPr>
          <a:spLocks/>
        </xdr:cNvSpPr>
      </xdr:nvSpPr>
      <xdr:spPr>
        <a:xfrm>
          <a:off x="781050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163</xdr:row>
      <xdr:rowOff>0</xdr:rowOff>
    </xdr:from>
    <xdr:to>
      <xdr:col>7</xdr:col>
      <xdr:colOff>0</xdr:colOff>
      <xdr:row>164</xdr:row>
      <xdr:rowOff>114300</xdr:rowOff>
    </xdr:to>
    <xdr:graphicFrame>
      <xdr:nvGraphicFramePr>
        <xdr:cNvPr id="4" name="Chart 19"/>
        <xdr:cNvGraphicFramePr/>
      </xdr:nvGraphicFramePr>
      <xdr:xfrm>
        <a:off x="390525" y="17430750"/>
        <a:ext cx="9877425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165</xdr:row>
      <xdr:rowOff>9525</xdr:rowOff>
    </xdr:from>
    <xdr:to>
      <xdr:col>10</xdr:col>
      <xdr:colOff>28575</xdr:colOff>
      <xdr:row>167</xdr:row>
      <xdr:rowOff>209550</xdr:rowOff>
    </xdr:to>
    <xdr:graphicFrame>
      <xdr:nvGraphicFramePr>
        <xdr:cNvPr id="5" name="Chart 20"/>
        <xdr:cNvGraphicFramePr/>
      </xdr:nvGraphicFramePr>
      <xdr:xfrm>
        <a:off x="371475" y="18573750"/>
        <a:ext cx="9925050" cy="108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0</xdr:row>
      <xdr:rowOff>66675</xdr:rowOff>
    </xdr:from>
    <xdr:to>
      <xdr:col>6</xdr:col>
      <xdr:colOff>1362075</xdr:colOff>
      <xdr:row>0</xdr:row>
      <xdr:rowOff>533400</xdr:rowOff>
    </xdr:to>
    <xdr:sp>
      <xdr:nvSpPr>
        <xdr:cNvPr id="6" name="Testo 1"/>
        <xdr:cNvSpPr>
          <a:spLocks/>
        </xdr:cNvSpPr>
      </xdr:nvSpPr>
      <xdr:spPr>
        <a:xfrm>
          <a:off x="361950" y="66675"/>
          <a:ext cx="9782175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1: INFORMAZIONI  DI CARATTERE GENERALE</a:t>
          </a:r>
        </a:p>
      </xdr:txBody>
    </xdr:sp>
    <xdr:clientData/>
  </xdr:twoCellAnchor>
  <xdr:twoCellAnchor>
    <xdr:from>
      <xdr:col>3</xdr:col>
      <xdr:colOff>609600</xdr:colOff>
      <xdr:row>37</xdr:row>
      <xdr:rowOff>0</xdr:rowOff>
    </xdr:from>
    <xdr:to>
      <xdr:col>3</xdr:col>
      <xdr:colOff>609600</xdr:colOff>
      <xdr:row>37</xdr:row>
      <xdr:rowOff>0</xdr:rowOff>
    </xdr:to>
    <xdr:sp>
      <xdr:nvSpPr>
        <xdr:cNvPr id="7" name="Line 8"/>
        <xdr:cNvSpPr>
          <a:spLocks/>
        </xdr:cNvSpPr>
      </xdr:nvSpPr>
      <xdr:spPr>
        <a:xfrm>
          <a:off x="42386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37</xdr:row>
      <xdr:rowOff>0</xdr:rowOff>
    </xdr:from>
    <xdr:to>
      <xdr:col>5</xdr:col>
      <xdr:colOff>685800</xdr:colOff>
      <xdr:row>37</xdr:row>
      <xdr:rowOff>0</xdr:rowOff>
    </xdr:to>
    <xdr:sp>
      <xdr:nvSpPr>
        <xdr:cNvPr id="8" name="Line 9"/>
        <xdr:cNvSpPr>
          <a:spLocks/>
        </xdr:cNvSpPr>
      </xdr:nvSpPr>
      <xdr:spPr>
        <a:xfrm>
          <a:off x="7810500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609600</xdr:colOff>
      <xdr:row>31</xdr:row>
      <xdr:rowOff>0</xdr:rowOff>
    </xdr:from>
    <xdr:to>
      <xdr:col>3</xdr:col>
      <xdr:colOff>609600</xdr:colOff>
      <xdr:row>31</xdr:row>
      <xdr:rowOff>0</xdr:rowOff>
    </xdr:to>
    <xdr:sp>
      <xdr:nvSpPr>
        <xdr:cNvPr id="9" name="Line 8"/>
        <xdr:cNvSpPr>
          <a:spLocks/>
        </xdr:cNvSpPr>
      </xdr:nvSpPr>
      <xdr:spPr>
        <a:xfrm>
          <a:off x="4238625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31</xdr:row>
      <xdr:rowOff>0</xdr:rowOff>
    </xdr:from>
    <xdr:to>
      <xdr:col>5</xdr:col>
      <xdr:colOff>685800</xdr:colOff>
      <xdr:row>31</xdr:row>
      <xdr:rowOff>0</xdr:rowOff>
    </xdr:to>
    <xdr:sp>
      <xdr:nvSpPr>
        <xdr:cNvPr id="10" name="Line 9"/>
        <xdr:cNvSpPr>
          <a:spLocks/>
        </xdr:cNvSpPr>
      </xdr:nvSpPr>
      <xdr:spPr>
        <a:xfrm>
          <a:off x="781050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11</xdr:col>
      <xdr:colOff>238125</xdr:colOff>
      <xdr:row>1</xdr:row>
      <xdr:rowOff>295275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600075"/>
          <a:ext cx="8429625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7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a tempo indeterminato e personale dirigente distribuito per classi di anzianità di servizio al 31 dicembre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12</xdr:col>
      <xdr:colOff>9525</xdr:colOff>
      <xdr:row>1</xdr:row>
      <xdr:rowOff>266700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8201025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8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a tempo indeterminato e personale dirigente distribuito per classi di età al 31 dicembre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7</xdr:col>
      <xdr:colOff>733425</xdr:colOff>
      <xdr:row>2</xdr:row>
      <xdr:rowOff>295275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657225"/>
          <a:ext cx="856297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9 -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dipendente a tempo indeterminato e personale dirigente distribuito per titolo di studio posseduto al 31 dicembre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38100</xdr:rowOff>
    </xdr:from>
    <xdr:to>
      <xdr:col>14</xdr:col>
      <xdr:colOff>0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3800475" y="590550"/>
          <a:ext cx="53721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  <xdr:twoCellAnchor>
    <xdr:from>
      <xdr:col>26</xdr:col>
      <xdr:colOff>0</xdr:colOff>
      <xdr:row>1</xdr:row>
      <xdr:rowOff>38100</xdr:rowOff>
    </xdr:from>
    <xdr:to>
      <xdr:col>37</xdr:col>
      <xdr:colOff>38100</xdr:colOff>
      <xdr:row>1</xdr:row>
      <xdr:rowOff>295275</xdr:rowOff>
    </xdr:to>
    <xdr:sp>
      <xdr:nvSpPr>
        <xdr:cNvPr id="2" name="Testo 9"/>
        <xdr:cNvSpPr txBox="1">
          <a:spLocks noChangeArrowheads="1"/>
        </xdr:cNvSpPr>
      </xdr:nvSpPr>
      <xdr:spPr>
        <a:xfrm>
          <a:off x="14544675" y="590550"/>
          <a:ext cx="538162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35</xdr:col>
      <xdr:colOff>142875</xdr:colOff>
      <xdr:row>1</xdr:row>
      <xdr:rowOff>285750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81025"/>
          <a:ext cx="524827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11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Numero giorni di assenza del personale in servizio nel corso dell'anno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29</xdr:col>
      <xdr:colOff>238125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57200"/>
          <a:ext cx="6943725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12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annui  per voci retributive a carattere "stipendiale" corrisposte al personale  in servizio (*)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37</xdr:col>
      <xdr:colOff>647700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04825"/>
          <a:ext cx="70770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13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annui per indennità e compensi accessori corrisposti  al personale  in servizio (*)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5010150</xdr:colOff>
      <xdr:row>1</xdr:row>
      <xdr:rowOff>266700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590550"/>
          <a:ext cx="50101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Altri oneri che concorrono a formare il costo del lavoro  (*)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3</xdr:col>
      <xdr:colOff>0</xdr:colOff>
      <xdr:row>1</xdr:row>
      <xdr:rowOff>409575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71500"/>
          <a:ext cx="5343525" cy="3905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LA CONTRATTAZIONE INTEGRATIVA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    DIRIGENTI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3</xdr:col>
      <xdr:colOff>0</xdr:colOff>
      <xdr:row>1</xdr:row>
      <xdr:rowOff>419100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71500"/>
          <a:ext cx="5343525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LA CONTRATTAZIONE INTEGRATIVA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DOCENTE E PERSONALE TECNICO AMMINISTRATIVO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1228725</xdr:colOff>
      <xdr:row>0</xdr:row>
      <xdr:rowOff>609600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29675" cy="5048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 : APPENDICE GESTIONE DATI CO.CO.CO.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1314450</xdr:colOff>
      <xdr:row>3</xdr:row>
      <xdr:rowOff>0</xdr:rowOff>
    </xdr:from>
    <xdr:to>
      <xdr:col>5</xdr:col>
      <xdr:colOff>1314450</xdr:colOff>
      <xdr:row>3</xdr:row>
      <xdr:rowOff>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7991475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1314450</xdr:colOff>
      <xdr:row>3</xdr:row>
      <xdr:rowOff>0</xdr:rowOff>
    </xdr:from>
    <xdr:to>
      <xdr:col>5</xdr:col>
      <xdr:colOff>1314450</xdr:colOff>
      <xdr:row>3</xdr:row>
      <xdr:rowOff>0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7991475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4657725</xdr:colOff>
      <xdr:row>1</xdr:row>
      <xdr:rowOff>266700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590550"/>
          <a:ext cx="46577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TABELLA RICONCILIAZIONE ( * )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100679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1006792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186690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18669000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8562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856297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1056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7105650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83058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8305800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29</xdr:col>
      <xdr:colOff>485775</xdr:colOff>
      <xdr:row>1</xdr:row>
      <xdr:rowOff>276225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342900"/>
          <a:ext cx="6753225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dipendente a tempo indeterminato e personale dirigente in servizio al 31 dicembre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29</xdr:col>
      <xdr:colOff>9525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590550"/>
          <a:ext cx="44958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con contratto o modalità di lavoro flessibile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161925</xdr:rowOff>
    </xdr:from>
    <xdr:to>
      <xdr:col>11</xdr:col>
      <xdr:colOff>0</xdr:colOff>
      <xdr:row>3</xdr:row>
      <xdr:rowOff>133350</xdr:rowOff>
    </xdr:to>
    <xdr:sp>
      <xdr:nvSpPr>
        <xdr:cNvPr id="1" name="Testo 9"/>
        <xdr:cNvSpPr txBox="1">
          <a:spLocks noChangeArrowheads="1"/>
        </xdr:cNvSpPr>
      </xdr:nvSpPr>
      <xdr:spPr>
        <a:xfrm>
          <a:off x="361950" y="590550"/>
          <a:ext cx="9401175" cy="2667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Distribuzione del personale a tempo determinato e co.co.co. per anzianità di rapporto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6</xdr:col>
      <xdr:colOff>9525</xdr:colOff>
      <xdr:row>1</xdr:row>
      <xdr:rowOff>295275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9525" y="590550"/>
          <a:ext cx="654367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3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24</xdr:col>
      <xdr:colOff>47625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590550"/>
          <a:ext cx="889635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4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Passaggi di qualifica / posizione economica / profilo del personale a tempo indeterminato e dirigente nel corso dell'anno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7</xdr:col>
      <xdr:colOff>619125</xdr:colOff>
      <xdr:row>1</xdr:row>
      <xdr:rowOff>285750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772477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5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6</xdr:col>
      <xdr:colOff>0</xdr:colOff>
      <xdr:row>1</xdr:row>
      <xdr:rowOff>285750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639127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6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Personale a tempo indeterminato e personale dirigente assunto in servizio nel corso dell'anno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areacomune\IGOP\area%20condivisa%20uffici%20III%20V%20e%20VI\public2E\CONTO%20ANNUALE\2012\Kit%20Excel%202012\4-\Campione%20da%20RAL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IT%20in%20lavorazione\RALN_CAMP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-CITTA_ME)"/>
      <sheetName val="SI_1A(UNIONE_COMUNI)"/>
      <sheetName val="SI_1A(COMUNITA_MONTANE)"/>
      <sheetName val="SI_1A_CONV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SICI(1)"/>
      <sheetName val="SICI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e 1 e 11"/>
      <sheetName val="Incongruenza 2"/>
      <sheetName val="Incongruenze 3, 12 e 13"/>
      <sheetName val="Incongruenza 4 e controlli t14"/>
      <sheetName val="Incongruenza 5"/>
      <sheetName val="Incongruenza 6"/>
      <sheetName val="Incongruenza 7"/>
      <sheetName val="Incongruenza 8"/>
      <sheetName val="Incongruenza 10"/>
      <sheetName val="Incongruenza 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K312"/>
  <sheetViews>
    <sheetView showGridLines="0" zoomScale="75" zoomScaleNormal="75" zoomScalePageLayoutView="0" workbookViewId="0" topLeftCell="A101">
      <selection activeCell="G106" sqref="G106"/>
    </sheetView>
  </sheetViews>
  <sheetFormatPr defaultColWidth="6.33203125" defaultRowHeight="10.5"/>
  <cols>
    <col min="1" max="1" width="6.66015625" style="387" customWidth="1"/>
    <col min="2" max="2" width="25.83203125" style="385" customWidth="1"/>
    <col min="3" max="3" width="31" style="385" customWidth="1"/>
    <col min="4" max="4" width="20.5" style="385" customWidth="1"/>
    <col min="5" max="5" width="40.66015625" style="385" customWidth="1"/>
    <col min="6" max="6" width="29" style="385" customWidth="1"/>
    <col min="7" max="7" width="26" style="385" customWidth="1"/>
    <col min="8" max="10" width="5.33203125" style="357" hidden="1" customWidth="1"/>
    <col min="11" max="11" width="38.83203125" style="357" customWidth="1"/>
    <col min="12" max="16384" width="6.33203125" style="357" customWidth="1"/>
  </cols>
  <sheetData>
    <row r="1" ht="57.75" customHeight="1">
      <c r="A1" s="514" t="s">
        <v>314</v>
      </c>
    </row>
    <row r="2" spans="1:7" s="358" customFormat="1" ht="20.25" customHeight="1">
      <c r="A2" s="515" t="s">
        <v>459</v>
      </c>
      <c r="B2" s="386"/>
      <c r="C2" s="1115"/>
      <c r="D2" s="1115"/>
      <c r="E2" s="1115"/>
      <c r="F2" s="1115"/>
      <c r="G2" s="386"/>
    </row>
    <row r="3" spans="1:7" s="358" customFormat="1" ht="27" customHeight="1">
      <c r="A3" s="415"/>
      <c r="B3" s="498"/>
      <c r="C3" s="1119" t="str">
        <f>'t1'!A1</f>
        <v>COMPARTO AFAM - anno 2016</v>
      </c>
      <c r="D3" s="1119"/>
      <c r="E3" s="1119"/>
      <c r="F3" s="1119"/>
      <c r="G3" s="386"/>
    </row>
    <row r="4" spans="3:8" ht="12.75">
      <c r="C4" s="388"/>
      <c r="D4" s="388"/>
      <c r="E4" s="388"/>
      <c r="F4" s="388"/>
      <c r="H4" s="359"/>
    </row>
    <row r="5" spans="5:8" ht="12.75">
      <c r="E5" s="387"/>
      <c r="H5" s="359"/>
    </row>
    <row r="6" spans="2:7" ht="18" customHeight="1">
      <c r="B6" s="1080" t="s">
        <v>366</v>
      </c>
      <c r="C6" s="1081"/>
      <c r="D6" s="1081"/>
      <c r="E6" s="1081"/>
      <c r="F6" s="1081"/>
      <c r="G6" s="1082"/>
    </row>
    <row r="7" ht="6" customHeight="1"/>
    <row r="8" spans="1:7" ht="19.5" customHeight="1" hidden="1">
      <c r="A8" s="416"/>
      <c r="B8" s="385" t="s">
        <v>274</v>
      </c>
      <c r="D8" s="389"/>
      <c r="E8" s="1093"/>
      <c r="F8" s="1094"/>
      <c r="G8" s="1090"/>
    </row>
    <row r="9" spans="1:11" ht="28.5" customHeight="1" hidden="1">
      <c r="A9" s="416"/>
      <c r="B9" s="360" t="s">
        <v>275</v>
      </c>
      <c r="C9" s="360"/>
      <c r="D9" s="765"/>
      <c r="E9" s="1116"/>
      <c r="F9" s="1117"/>
      <c r="G9" s="1118"/>
      <c r="K9" s="516"/>
    </row>
    <row r="10" spans="1:11" ht="28.5" customHeight="1">
      <c r="A10" s="416"/>
      <c r="B10" s="360" t="s">
        <v>276</v>
      </c>
      <c r="C10" s="360"/>
      <c r="D10" s="389"/>
      <c r="E10" s="1093" t="s">
        <v>759</v>
      </c>
      <c r="F10" s="1094"/>
      <c r="G10" s="1090"/>
      <c r="K10" s="516"/>
    </row>
    <row r="11" spans="1:11" ht="28.5" customHeight="1">
      <c r="A11" s="416"/>
      <c r="B11" s="360" t="s">
        <v>277</v>
      </c>
      <c r="C11" s="360"/>
      <c r="D11" s="389"/>
      <c r="E11" s="1093"/>
      <c r="F11" s="1094"/>
      <c r="G11" s="1090"/>
      <c r="K11" s="516"/>
    </row>
    <row r="12" spans="1:11" ht="28.5" customHeight="1">
      <c r="A12" s="416"/>
      <c r="B12" s="360" t="s">
        <v>278</v>
      </c>
      <c r="C12" s="360"/>
      <c r="D12" s="389"/>
      <c r="E12" s="1089" t="s">
        <v>760</v>
      </c>
      <c r="F12" s="1094"/>
      <c r="G12" s="1090"/>
      <c r="K12" s="516"/>
    </row>
    <row r="13" spans="1:11" ht="28.5" customHeight="1" hidden="1">
      <c r="A13" s="416"/>
      <c r="B13" s="360" t="s">
        <v>279</v>
      </c>
      <c r="C13" s="686"/>
      <c r="D13" s="687"/>
      <c r="E13" s="688"/>
      <c r="F13" s="689"/>
      <c r="G13" s="690"/>
      <c r="H13" s="600"/>
      <c r="I13" s="601"/>
      <c r="J13" s="588"/>
      <c r="K13" s="602"/>
    </row>
    <row r="14" spans="1:7" s="362" customFormat="1" ht="20.25" customHeight="1" hidden="1">
      <c r="A14" s="416"/>
      <c r="B14" s="361"/>
      <c r="C14" s="390" t="s">
        <v>280</v>
      </c>
      <c r="D14" s="391" t="s">
        <v>303</v>
      </c>
      <c r="E14" s="390" t="s">
        <v>281</v>
      </c>
      <c r="F14" s="390" t="s">
        <v>320</v>
      </c>
      <c r="G14" s="390"/>
    </row>
    <row r="15" spans="1:7" s="543" customFormat="1" ht="28.5" customHeight="1">
      <c r="A15" s="385"/>
      <c r="B15" s="360" t="s">
        <v>59</v>
      </c>
      <c r="C15" s="542"/>
      <c r="D15" s="1095" t="s">
        <v>761</v>
      </c>
      <c r="E15" s="1096"/>
      <c r="F15" s="1096"/>
      <c r="G15" s="1097"/>
    </row>
    <row r="16" spans="1:7" ht="18" customHeight="1">
      <c r="A16" s="416"/>
      <c r="B16" s="1080" t="s">
        <v>361</v>
      </c>
      <c r="C16" s="1081"/>
      <c r="D16" s="1081"/>
      <c r="E16" s="1081"/>
      <c r="F16" s="1081"/>
      <c r="G16" s="1082"/>
    </row>
    <row r="17" spans="1:7" s="363" customFormat="1" ht="15" customHeight="1">
      <c r="A17" s="416"/>
      <c r="B17" s="392" t="s">
        <v>282</v>
      </c>
      <c r="C17" s="730"/>
      <c r="D17" s="730"/>
      <c r="E17" s="730"/>
      <c r="F17" s="730"/>
      <c r="G17" s="730"/>
    </row>
    <row r="18" spans="1:7" s="363" customFormat="1" ht="15">
      <c r="A18" s="416"/>
      <c r="B18" s="394" t="s">
        <v>283</v>
      </c>
      <c r="C18" s="394"/>
      <c r="D18" s="394" t="s">
        <v>284</v>
      </c>
      <c r="E18" s="394"/>
      <c r="F18" s="395" t="s">
        <v>296</v>
      </c>
      <c r="G18" s="724"/>
    </row>
    <row r="19" spans="1:11" ht="22.5" customHeight="1">
      <c r="A19" s="416"/>
      <c r="B19" s="1093" t="s">
        <v>762</v>
      </c>
      <c r="C19" s="1094"/>
      <c r="D19" s="1093" t="s">
        <v>763</v>
      </c>
      <c r="E19" s="1094"/>
      <c r="F19" s="1089" t="s">
        <v>764</v>
      </c>
      <c r="G19" s="1090"/>
      <c r="K19" s="517"/>
    </row>
    <row r="20" spans="1:7" s="363" customFormat="1" ht="15" customHeight="1">
      <c r="A20" s="416"/>
      <c r="B20" s="392" t="s">
        <v>285</v>
      </c>
      <c r="C20" s="393"/>
      <c r="D20" s="394"/>
      <c r="E20" s="394"/>
      <c r="F20" s="730"/>
      <c r="G20" s="730"/>
    </row>
    <row r="21" spans="1:7" s="363" customFormat="1" ht="15" customHeight="1">
      <c r="A21" s="416"/>
      <c r="B21" s="394" t="s">
        <v>283</v>
      </c>
      <c r="C21" s="394"/>
      <c r="D21" s="394" t="s">
        <v>284</v>
      </c>
      <c r="E21" s="394"/>
      <c r="F21" s="395" t="s">
        <v>296</v>
      </c>
      <c r="G21" s="725"/>
    </row>
    <row r="22" spans="1:11" ht="23.25" customHeight="1">
      <c r="A22" s="416"/>
      <c r="B22" s="1091" t="s">
        <v>765</v>
      </c>
      <c r="C22" s="1092"/>
      <c r="D22" s="1091" t="s">
        <v>766</v>
      </c>
      <c r="E22" s="1092"/>
      <c r="F22" s="1091" t="s">
        <v>767</v>
      </c>
      <c r="G22" s="1092"/>
      <c r="K22" s="517" t="str">
        <f>IF(OR(LEN(B22)&gt;0,LEN(D22)&gt;0),IF(LEN(F22)=0,"E' NECESSARIO COMPILARE IL CAMPO E-MAIL"," ")," ")</f>
        <v> </v>
      </c>
    </row>
    <row r="23" spans="1:11" ht="23.25" customHeight="1">
      <c r="A23" s="416"/>
      <c r="B23" s="1087"/>
      <c r="C23" s="1088"/>
      <c r="D23" s="1087"/>
      <c r="E23" s="1088"/>
      <c r="F23" s="1087"/>
      <c r="G23" s="1088"/>
      <c r="K23" s="517" t="str">
        <f>IF(OR(LEN(B23)&gt;0,LEN(D23)&gt;0),IF(LEN(F23)=0,"E' NECESSARIO COMPILARE IL CAMPO E-MAIL"," ")," ")</f>
        <v> </v>
      </c>
    </row>
    <row r="24" spans="1:11" ht="23.25" customHeight="1">
      <c r="A24" s="416"/>
      <c r="B24" s="1087"/>
      <c r="C24" s="1088"/>
      <c r="D24" s="1087"/>
      <c r="E24" s="1088"/>
      <c r="F24" s="1087"/>
      <c r="G24" s="1088"/>
      <c r="K24" s="517" t="str">
        <f>IF(OR(LEN(B24)&gt;0,LEN(D24)&gt;0),IF(LEN(F24)=0,"E' NECESSARIO COMPILARE IL CAMPO E-MAIL"," ")," ")</f>
        <v> </v>
      </c>
    </row>
    <row r="25" spans="1:11" ht="23.25" customHeight="1">
      <c r="A25" s="416"/>
      <c r="B25" s="1087"/>
      <c r="C25" s="1088"/>
      <c r="D25" s="1087"/>
      <c r="E25" s="1088"/>
      <c r="F25" s="1087"/>
      <c r="G25" s="1088"/>
      <c r="K25" s="517" t="str">
        <f>IF(OR(LEN(B25)&gt;0,LEN(D25)&gt;0),IF(LEN(F25)=0,"E' NECESSARIO COMPILARE IL CAMPO E-MAIL"," ")," ")</f>
        <v> </v>
      </c>
    </row>
    <row r="26" spans="1:11" ht="23.25" customHeight="1">
      <c r="A26" s="416"/>
      <c r="B26" s="1087"/>
      <c r="C26" s="1088"/>
      <c r="D26" s="1087"/>
      <c r="E26" s="1088"/>
      <c r="F26" s="1087"/>
      <c r="G26" s="1088"/>
      <c r="K26" s="517" t="str">
        <f>IF(OR(LEN(B26)&gt;0,LEN(D26)&gt;0),IF(LEN(F26)=0,"E' NECESSARIO COMPILARE IL CAMPO E-MAIL"," ")," ")</f>
        <v> </v>
      </c>
    </row>
    <row r="27" spans="1:7" s="359" customFormat="1" ht="18">
      <c r="A27" s="416"/>
      <c r="B27" s="396"/>
      <c r="C27" s="397"/>
      <c r="D27" s="397"/>
      <c r="E27" s="398"/>
      <c r="F27" s="399"/>
      <c r="G27" s="399"/>
    </row>
    <row r="28" spans="1:8" ht="18" customHeight="1">
      <c r="A28" s="416"/>
      <c r="B28" s="401" t="s">
        <v>286</v>
      </c>
      <c r="C28" s="400"/>
      <c r="D28" s="400"/>
      <c r="E28" s="402"/>
      <c r="F28" s="403"/>
      <c r="G28" s="403"/>
      <c r="H28" s="364"/>
    </row>
    <row r="29" spans="1:8" ht="13.5" customHeight="1">
      <c r="A29" s="416"/>
      <c r="B29" s="400"/>
      <c r="C29" s="400"/>
      <c r="D29" s="400"/>
      <c r="E29" s="402"/>
      <c r="F29" s="404"/>
      <c r="G29" s="404"/>
      <c r="H29" s="364"/>
    </row>
    <row r="30" spans="1:8" ht="18" customHeight="1">
      <c r="A30" s="416"/>
      <c r="B30" s="1080" t="s">
        <v>362</v>
      </c>
      <c r="C30" s="1081"/>
      <c r="D30" s="1081"/>
      <c r="E30" s="1081"/>
      <c r="F30" s="1081"/>
      <c r="G30" s="1082"/>
      <c r="H30" s="364"/>
    </row>
    <row r="31" spans="1:7" ht="7.5" customHeight="1">
      <c r="A31" s="416"/>
      <c r="B31" s="798"/>
      <c r="C31" s="799"/>
      <c r="D31" s="799"/>
      <c r="E31" s="387"/>
      <c r="F31" s="799"/>
      <c r="G31" s="799"/>
    </row>
    <row r="32" spans="1:7" s="365" customFormat="1" ht="15.75" customHeight="1">
      <c r="A32" s="416"/>
      <c r="B32" s="800" t="s">
        <v>683</v>
      </c>
      <c r="C32" s="800"/>
      <c r="D32" s="800" t="s">
        <v>684</v>
      </c>
      <c r="E32" s="800" t="s">
        <v>685</v>
      </c>
      <c r="F32" s="904" t="s">
        <v>686</v>
      </c>
      <c r="G32" s="801" t="s">
        <v>287</v>
      </c>
    </row>
    <row r="33" spans="1:11" ht="36" customHeight="1">
      <c r="A33" s="416"/>
      <c r="B33" s="1083" t="s">
        <v>768</v>
      </c>
      <c r="C33" s="1084"/>
      <c r="D33" s="687" t="s">
        <v>769</v>
      </c>
      <c r="E33" s="691" t="s">
        <v>760</v>
      </c>
      <c r="F33" s="692" t="s">
        <v>759</v>
      </c>
      <c r="G33" s="692"/>
      <c r="K33" s="517">
        <f>IF(AND(LEN(B33)&gt;0,LEN(D33)&gt;0,LEN(E33)&gt;0,LEN(F33)&gt;0),"","COMPILARE TUTTI I DATI DEL RESPONSABILE CONTRASSEGNATI CON L'ASTERISCO")</f>
      </c>
    </row>
    <row r="34" spans="1:7" ht="20.25" customHeight="1" hidden="1">
      <c r="A34" s="416"/>
      <c r="B34" s="1085"/>
      <c r="C34" s="1086"/>
      <c r="D34" s="905"/>
      <c r="E34" s="518"/>
      <c r="F34" s="906"/>
      <c r="G34" s="906"/>
    </row>
    <row r="35" spans="1:7" ht="18" customHeight="1">
      <c r="A35" s="416"/>
      <c r="B35" s="803"/>
      <c r="C35" s="803"/>
      <c r="D35" s="804"/>
      <c r="E35" s="804"/>
      <c r="F35" s="387"/>
      <c r="G35" s="387"/>
    </row>
    <row r="36" spans="1:8" ht="18" customHeight="1">
      <c r="A36" s="416"/>
      <c r="B36" s="1080" t="s">
        <v>583</v>
      </c>
      <c r="C36" s="1081"/>
      <c r="D36" s="1081"/>
      <c r="E36" s="1081"/>
      <c r="F36" s="1081"/>
      <c r="G36" s="1082"/>
      <c r="H36" s="364"/>
    </row>
    <row r="37" spans="1:7" ht="7.5" customHeight="1">
      <c r="A37" s="416"/>
      <c r="B37" s="798"/>
      <c r="C37" s="799"/>
      <c r="D37" s="799"/>
      <c r="E37" s="387"/>
      <c r="F37" s="799"/>
      <c r="G37" s="799"/>
    </row>
    <row r="38" spans="1:7" s="365" customFormat="1" ht="15.75" customHeight="1">
      <c r="A38" s="416"/>
      <c r="B38" s="800" t="s">
        <v>283</v>
      </c>
      <c r="C38" s="800"/>
      <c r="D38" s="800" t="s">
        <v>284</v>
      </c>
      <c r="E38" s="800" t="s">
        <v>296</v>
      </c>
      <c r="F38" s="405" t="s">
        <v>276</v>
      </c>
      <c r="G38" s="801" t="s">
        <v>287</v>
      </c>
    </row>
    <row r="39" spans="1:11" ht="23.25" customHeight="1">
      <c r="A39" s="416"/>
      <c r="B39" s="1083" t="s">
        <v>768</v>
      </c>
      <c r="C39" s="1084"/>
      <c r="D39" s="687" t="s">
        <v>769</v>
      </c>
      <c r="E39" s="691" t="s">
        <v>760</v>
      </c>
      <c r="F39" s="692" t="s">
        <v>759</v>
      </c>
      <c r="G39" s="802"/>
      <c r="K39" s="517"/>
    </row>
    <row r="40" spans="1:7" ht="18" customHeight="1">
      <c r="A40" s="416"/>
      <c r="B40" s="803"/>
      <c r="C40" s="803"/>
      <c r="D40" s="804"/>
      <c r="E40" s="804"/>
      <c r="F40" s="387"/>
      <c r="G40" s="387"/>
    </row>
    <row r="41" spans="1:7" ht="18" customHeight="1">
      <c r="A41" s="416"/>
      <c r="B41" s="1080" t="s">
        <v>367</v>
      </c>
      <c r="C41" s="1081"/>
      <c r="D41" s="1081"/>
      <c r="E41" s="1081"/>
      <c r="F41" s="1081"/>
      <c r="G41" s="1082"/>
    </row>
    <row r="42" spans="1:7" ht="6" customHeight="1">
      <c r="A42" s="416"/>
      <c r="B42" s="360"/>
      <c r="C42" s="360"/>
      <c r="D42" s="406"/>
      <c r="E42" s="406"/>
      <c r="F42" s="407"/>
      <c r="G42" s="407"/>
    </row>
    <row r="43" spans="1:9" ht="15" hidden="1">
      <c r="A43" s="416"/>
      <c r="B43" s="366"/>
      <c r="C43" s="360"/>
      <c r="F43" s="378"/>
      <c r="G43" s="378"/>
      <c r="H43" s="418" t="b">
        <v>0</v>
      </c>
      <c r="I43" s="418" t="b">
        <v>0</v>
      </c>
    </row>
    <row r="44" spans="1:11" ht="29.25" customHeight="1" hidden="1">
      <c r="A44" s="416">
        <v>1</v>
      </c>
      <c r="B44" s="1099" t="s">
        <v>288</v>
      </c>
      <c r="C44" s="1099"/>
      <c r="D44" s="1099"/>
      <c r="E44" s="1099"/>
      <c r="F44" s="623"/>
      <c r="G44" s="623"/>
      <c r="H44" s="500"/>
      <c r="I44" s="500"/>
      <c r="J44" s="519"/>
      <c r="K44" s="517"/>
    </row>
    <row r="45" spans="2:9" ht="8.25" customHeight="1" hidden="1">
      <c r="B45" s="366"/>
      <c r="C45" s="360"/>
      <c r="F45" s="675"/>
      <c r="G45" s="675"/>
      <c r="H45" s="418"/>
      <c r="I45" s="418"/>
    </row>
    <row r="46" spans="1:11" ht="29.25" customHeight="1" hidden="1">
      <c r="A46" s="416">
        <v>2</v>
      </c>
      <c r="B46" s="1099" t="s">
        <v>288</v>
      </c>
      <c r="C46" s="1099"/>
      <c r="D46" s="1099"/>
      <c r="E46" s="1099"/>
      <c r="F46" s="676"/>
      <c r="G46" s="676"/>
      <c r="H46" s="500"/>
      <c r="I46" s="500"/>
      <c r="J46" s="519"/>
      <c r="K46" s="517"/>
    </row>
    <row r="47" spans="1:9" ht="8.25" customHeight="1" hidden="1">
      <c r="A47" s="416"/>
      <c r="B47" s="366"/>
      <c r="C47" s="360"/>
      <c r="F47" s="675"/>
      <c r="G47" s="675"/>
      <c r="H47" s="418"/>
      <c r="I47" s="418"/>
    </row>
    <row r="48" spans="1:11" ht="29.25" customHeight="1" hidden="1">
      <c r="A48" s="416">
        <v>3</v>
      </c>
      <c r="B48" s="1099" t="s">
        <v>288</v>
      </c>
      <c r="C48" s="1099"/>
      <c r="D48" s="1099"/>
      <c r="E48" s="1099"/>
      <c r="F48" s="676"/>
      <c r="G48" s="676"/>
      <c r="H48" s="500"/>
      <c r="I48" s="500"/>
      <c r="J48" s="519"/>
      <c r="K48" s="517"/>
    </row>
    <row r="49" spans="1:9" ht="8.25" customHeight="1" hidden="1">
      <c r="A49" s="416"/>
      <c r="B49" s="677"/>
      <c r="C49" s="677"/>
      <c r="D49" s="677"/>
      <c r="E49" s="677"/>
      <c r="F49" s="675"/>
      <c r="G49" s="675"/>
      <c r="H49" s="418"/>
      <c r="I49" s="418"/>
    </row>
    <row r="50" spans="1:11" ht="29.25" customHeight="1" hidden="1">
      <c r="A50" s="416">
        <v>4</v>
      </c>
      <c r="B50" s="1099" t="s">
        <v>288</v>
      </c>
      <c r="C50" s="1099"/>
      <c r="D50" s="1099"/>
      <c r="E50" s="1099"/>
      <c r="F50" s="676"/>
      <c r="G50" s="676"/>
      <c r="H50" s="500"/>
      <c r="I50" s="500"/>
      <c r="J50" s="519"/>
      <c r="K50" s="517"/>
    </row>
    <row r="51" spans="1:9" ht="9.75" customHeight="1" hidden="1">
      <c r="A51" s="416"/>
      <c r="H51" s="500"/>
      <c r="I51" s="500"/>
    </row>
    <row r="52" spans="1:7" ht="15">
      <c r="A52" s="416"/>
      <c r="B52" s="387"/>
      <c r="C52" s="387"/>
      <c r="F52" s="407"/>
      <c r="G52" s="408"/>
    </row>
    <row r="53" spans="1:11" ht="27" customHeight="1">
      <c r="A53" s="416">
        <v>5</v>
      </c>
      <c r="B53" s="1078" t="s">
        <v>288</v>
      </c>
      <c r="C53" s="1078"/>
      <c r="D53" s="1078"/>
      <c r="E53" s="1078"/>
      <c r="F53" s="1079"/>
      <c r="G53" s="723"/>
      <c r="K53" s="517"/>
    </row>
    <row r="54" spans="1:7" ht="4.5" customHeight="1">
      <c r="A54" s="416"/>
      <c r="B54" s="366"/>
      <c r="C54" s="366"/>
      <c r="D54" s="713"/>
      <c r="E54" s="713"/>
      <c r="F54" s="713"/>
      <c r="G54" s="410"/>
    </row>
    <row r="55" spans="1:7" ht="15">
      <c r="A55" s="416"/>
      <c r="B55" s="714"/>
      <c r="C55" s="714"/>
      <c r="D55" s="715"/>
      <c r="E55" s="716"/>
      <c r="F55" s="587"/>
      <c r="G55" s="408" t="s">
        <v>289</v>
      </c>
    </row>
    <row r="56" spans="1:11" ht="24" customHeight="1">
      <c r="A56" s="416">
        <v>6</v>
      </c>
      <c r="B56" s="1078" t="s">
        <v>562</v>
      </c>
      <c r="C56" s="1078"/>
      <c r="D56" s="1078"/>
      <c r="E56" s="1078"/>
      <c r="F56" s="1079"/>
      <c r="G56" s="628">
        <v>14</v>
      </c>
      <c r="K56" s="517">
        <f>IF(G56="","INSERIRE CAMPO OBBLIGATORIO",IF(G56=" ","INSERIRE NUMERO VALIDO",IF(AND(G56&gt;0,G56&lt;999999999999,COCOCO!$I$24=0),"COMPILARE LA SI_COCOCO","")))</f>
      </c>
    </row>
    <row r="57" spans="1:7" ht="4.5" customHeight="1">
      <c r="A57" s="416"/>
      <c r="B57" s="366"/>
      <c r="C57" s="710"/>
      <c r="D57" s="715"/>
      <c r="E57" s="716"/>
      <c r="F57" s="587"/>
      <c r="G57" s="388"/>
    </row>
    <row r="58" spans="1:7" ht="15">
      <c r="A58" s="416"/>
      <c r="B58" s="714"/>
      <c r="C58" s="717"/>
      <c r="D58" s="718"/>
      <c r="E58" s="719"/>
      <c r="F58" s="720"/>
      <c r="G58" s="408" t="s">
        <v>289</v>
      </c>
    </row>
    <row r="59" spans="1:11" ht="24" customHeight="1">
      <c r="A59" s="416">
        <v>7</v>
      </c>
      <c r="B59" s="1078" t="s">
        <v>563</v>
      </c>
      <c r="C59" s="1078"/>
      <c r="D59" s="1078"/>
      <c r="E59" s="1078"/>
      <c r="F59" s="1079"/>
      <c r="G59" s="628"/>
      <c r="K59" s="517" t="str">
        <f>IF(G59="","INSERIRE CAMPO OBBLIGATORIO",IF(G59=" ","INSERIRE NUMERO VALIDO",""))</f>
        <v>INSERIRE CAMPO OBBLIGATORIO</v>
      </c>
    </row>
    <row r="60" spans="1:7" ht="4.5" customHeight="1">
      <c r="A60" s="416"/>
      <c r="B60" s="366"/>
      <c r="C60" s="710"/>
      <c r="D60" s="715"/>
      <c r="E60" s="716"/>
      <c r="F60" s="587"/>
      <c r="G60" s="388" t="s">
        <v>116</v>
      </c>
    </row>
    <row r="61" spans="1:7" ht="15">
      <c r="A61" s="416"/>
      <c r="B61" s="714"/>
      <c r="C61" s="717"/>
      <c r="D61" s="718"/>
      <c r="E61" s="719"/>
      <c r="F61" s="720"/>
      <c r="G61" s="408" t="s">
        <v>289</v>
      </c>
    </row>
    <row r="62" spans="1:11" ht="24" customHeight="1">
      <c r="A62" s="416">
        <v>8</v>
      </c>
      <c r="B62" s="1078" t="s">
        <v>564</v>
      </c>
      <c r="C62" s="1078"/>
      <c r="D62" s="1078"/>
      <c r="E62" s="1078"/>
      <c r="F62" s="1079"/>
      <c r="G62" s="628">
        <v>6</v>
      </c>
      <c r="K62" s="517">
        <f>IF(G62="","INSERIRE CAMPO OBBLIGATORIO",IF(G62=" ","INSERIRE NUMERO VALIDO",""))</f>
      </c>
    </row>
    <row r="63" spans="1:7" ht="4.5" customHeight="1">
      <c r="A63" s="416"/>
      <c r="B63" s="366"/>
      <c r="C63" s="710"/>
      <c r="D63" s="715"/>
      <c r="E63" s="716"/>
      <c r="F63" s="587"/>
      <c r="G63" s="388" t="s">
        <v>116</v>
      </c>
    </row>
    <row r="64" spans="1:10" s="387" customFormat="1" ht="15" customHeight="1" hidden="1">
      <c r="A64" s="570"/>
      <c r="B64" s="366"/>
      <c r="C64" s="710"/>
      <c r="D64" s="715"/>
      <c r="E64" s="716"/>
      <c r="F64" s="587"/>
      <c r="G64"/>
      <c r="H64"/>
      <c r="I64" s="589"/>
      <c r="J64" s="589"/>
    </row>
    <row r="65" spans="1:10" s="387" customFormat="1" ht="15" customHeight="1" hidden="1">
      <c r="A65" s="570"/>
      <c r="B65" s="366"/>
      <c r="C65" s="710"/>
      <c r="D65" s="715"/>
      <c r="E65" s="716"/>
      <c r="F65" s="587"/>
      <c r="G65"/>
      <c r="H65"/>
      <c r="I65" s="566"/>
      <c r="J65" s="589"/>
    </row>
    <row r="66" spans="1:10" s="387" customFormat="1" ht="15" customHeight="1" hidden="1">
      <c r="A66" s="570"/>
      <c r="B66" s="366"/>
      <c r="C66" s="710"/>
      <c r="D66" s="715"/>
      <c r="E66" s="716"/>
      <c r="F66" s="587"/>
      <c r="G66"/>
      <c r="H66"/>
      <c r="I66" s="566"/>
      <c r="J66" s="589"/>
    </row>
    <row r="67" spans="1:10" s="387" customFormat="1" ht="15" customHeight="1" hidden="1">
      <c r="A67" s="570"/>
      <c r="B67" s="366"/>
      <c r="C67" s="710"/>
      <c r="D67" s="715"/>
      <c r="E67" s="716"/>
      <c r="F67" s="587"/>
      <c r="G67"/>
      <c r="H67"/>
      <c r="I67" s="566"/>
      <c r="J67" s="589"/>
    </row>
    <row r="68" spans="1:10" s="387" customFormat="1" ht="15" customHeight="1" hidden="1">
      <c r="A68" s="570"/>
      <c r="B68" s="366"/>
      <c r="C68" s="710"/>
      <c r="D68" s="715"/>
      <c r="E68" s="716"/>
      <c r="F68" s="587"/>
      <c r="G68"/>
      <c r="H68"/>
      <c r="I68" s="566"/>
      <c r="J68" s="589"/>
    </row>
    <row r="69" spans="1:10" s="387" customFormat="1" ht="15" customHeight="1" hidden="1">
      <c r="A69" s="570"/>
      <c r="B69" s="366"/>
      <c r="C69" s="710"/>
      <c r="D69" s="715"/>
      <c r="E69" s="716"/>
      <c r="F69" s="587"/>
      <c r="G69"/>
      <c r="H69"/>
      <c r="I69" s="566"/>
      <c r="J69" s="589"/>
    </row>
    <row r="70" spans="1:7" ht="9.75" customHeight="1" hidden="1">
      <c r="A70" s="416"/>
      <c r="B70" s="366"/>
      <c r="C70" s="710"/>
      <c r="D70" s="715"/>
      <c r="E70" s="716"/>
      <c r="F70" s="587"/>
      <c r="G70" s="620"/>
    </row>
    <row r="71" spans="1:7" ht="9.75" customHeight="1" hidden="1">
      <c r="A71" s="416"/>
      <c r="B71" s="366"/>
      <c r="C71" s="710"/>
      <c r="D71" s="715"/>
      <c r="E71" s="716"/>
      <c r="F71" s="587"/>
      <c r="G71" s="620"/>
    </row>
    <row r="72" spans="1:7" ht="9.75" customHeight="1" hidden="1">
      <c r="A72" s="416"/>
      <c r="B72" s="366"/>
      <c r="C72" s="710"/>
      <c r="D72" s="715"/>
      <c r="E72" s="716"/>
      <c r="F72" s="587"/>
      <c r="G72" s="620"/>
    </row>
    <row r="73" spans="1:7" ht="9.75" customHeight="1" hidden="1">
      <c r="A73" s="416"/>
      <c r="B73" s="366"/>
      <c r="C73" s="710"/>
      <c r="D73" s="715"/>
      <c r="E73" s="716"/>
      <c r="F73" s="587"/>
      <c r="G73" s="620"/>
    </row>
    <row r="74" spans="1:7" ht="9.75" customHeight="1" hidden="1">
      <c r="A74" s="416"/>
      <c r="B74" s="366"/>
      <c r="C74" s="710"/>
      <c r="D74" s="715"/>
      <c r="E74" s="716"/>
      <c r="F74" s="587"/>
      <c r="G74" s="620"/>
    </row>
    <row r="75" spans="1:7" ht="9.75" customHeight="1" hidden="1">
      <c r="A75" s="416"/>
      <c r="B75" s="366"/>
      <c r="C75" s="710"/>
      <c r="D75" s="715"/>
      <c r="E75" s="716"/>
      <c r="F75" s="587"/>
      <c r="G75" s="620"/>
    </row>
    <row r="76" spans="1:7" ht="9.75" customHeight="1" hidden="1">
      <c r="A76" s="416"/>
      <c r="B76" s="366"/>
      <c r="C76" s="710"/>
      <c r="D76" s="715"/>
      <c r="E76" s="716"/>
      <c r="F76" s="587"/>
      <c r="G76" s="620"/>
    </row>
    <row r="77" spans="1:7" ht="9.75" customHeight="1" hidden="1">
      <c r="A77" s="416"/>
      <c r="B77" s="366"/>
      <c r="C77" s="710"/>
      <c r="D77" s="715"/>
      <c r="E77" s="716"/>
      <c r="F77" s="587"/>
      <c r="G77" s="620"/>
    </row>
    <row r="78" spans="1:7" ht="9.75" customHeight="1" hidden="1">
      <c r="A78" s="416"/>
      <c r="B78" s="366"/>
      <c r="C78" s="710"/>
      <c r="D78" s="715"/>
      <c r="E78" s="716"/>
      <c r="F78" s="587"/>
      <c r="G78" s="620"/>
    </row>
    <row r="79" spans="1:11" ht="9.75" customHeight="1" hidden="1">
      <c r="A79" s="416"/>
      <c r="B79" s="366"/>
      <c r="C79" s="710"/>
      <c r="D79" s="715"/>
      <c r="E79" s="716"/>
      <c r="F79" s="587"/>
      <c r="G79" s="581"/>
      <c r="K79" s="517"/>
    </row>
    <row r="80" spans="1:7" ht="17.25" customHeight="1" hidden="1">
      <c r="A80" s="416"/>
      <c r="B80" s="366"/>
      <c r="C80" s="710"/>
      <c r="D80" s="715"/>
      <c r="E80" s="716"/>
      <c r="F80" s="587"/>
      <c r="G80" s="388"/>
    </row>
    <row r="81" spans="1:7" ht="15">
      <c r="A81" s="416"/>
      <c r="B81" s="714"/>
      <c r="C81" s="717"/>
      <c r="D81" s="718"/>
      <c r="E81" s="719"/>
      <c r="F81" s="720"/>
      <c r="G81" s="408" t="s">
        <v>345</v>
      </c>
    </row>
    <row r="82" spans="1:11" ht="27" customHeight="1">
      <c r="A82" s="416">
        <v>9</v>
      </c>
      <c r="B82" s="1078" t="s">
        <v>565</v>
      </c>
      <c r="C82" s="1078"/>
      <c r="D82" s="1078"/>
      <c r="E82" s="1078"/>
      <c r="F82" s="1079"/>
      <c r="G82" s="628"/>
      <c r="K82" s="517"/>
    </row>
    <row r="83" spans="1:11" ht="5.25" customHeight="1">
      <c r="A83" s="416"/>
      <c r="B83" s="513"/>
      <c r="C83" s="513"/>
      <c r="D83" s="513"/>
      <c r="E83" s="513"/>
      <c r="F83" s="520"/>
      <c r="G83" s="388"/>
      <c r="K83" s="517"/>
    </row>
    <row r="84" spans="1:7" ht="15">
      <c r="A84" s="416"/>
      <c r="B84" s="714"/>
      <c r="C84" s="717"/>
      <c r="D84" s="718"/>
      <c r="E84" s="719"/>
      <c r="F84" s="720"/>
      <c r="G84" s="408" t="s">
        <v>290</v>
      </c>
    </row>
    <row r="85" spans="1:11" ht="27" customHeight="1">
      <c r="A85" s="416">
        <v>10</v>
      </c>
      <c r="B85" s="1078" t="s">
        <v>566</v>
      </c>
      <c r="C85" s="1078"/>
      <c r="D85" s="1078"/>
      <c r="E85" s="1078"/>
      <c r="F85" s="1079"/>
      <c r="G85" s="628"/>
      <c r="K85" s="517"/>
    </row>
    <row r="86" spans="1:11" ht="5.25" customHeight="1" hidden="1">
      <c r="A86" s="416"/>
      <c r="B86" s="513"/>
      <c r="C86" s="513"/>
      <c r="D86" s="513"/>
      <c r="E86" s="513"/>
      <c r="F86" s="520"/>
      <c r="G86" s="388"/>
      <c r="K86" s="517"/>
    </row>
    <row r="87" spans="1:7" ht="15" hidden="1">
      <c r="A87" s="416"/>
      <c r="B87" s="714"/>
      <c r="C87" s="717"/>
      <c r="D87" s="718"/>
      <c r="E87" s="719"/>
      <c r="F87" s="720"/>
      <c r="G87" s="408"/>
    </row>
    <row r="88" spans="1:11" ht="27" customHeight="1" hidden="1">
      <c r="A88" s="416">
        <v>11</v>
      </c>
      <c r="B88" s="1078" t="s">
        <v>288</v>
      </c>
      <c r="C88" s="1078"/>
      <c r="D88" s="1078"/>
      <c r="E88" s="1078"/>
      <c r="F88" s="1079"/>
      <c r="G88" s="723"/>
      <c r="K88" s="517"/>
    </row>
    <row r="89" spans="1:11" ht="5.25" customHeight="1" hidden="1">
      <c r="A89" s="416"/>
      <c r="B89" s="513"/>
      <c r="C89" s="513"/>
      <c r="D89" s="513"/>
      <c r="E89" s="513"/>
      <c r="F89" s="520"/>
      <c r="G89" s="388"/>
      <c r="K89" s="517"/>
    </row>
    <row r="90" spans="1:7" ht="15" hidden="1">
      <c r="A90" s="711"/>
      <c r="B90" s="711"/>
      <c r="C90" s="711"/>
      <c r="D90" s="711"/>
      <c r="E90" s="711"/>
      <c r="F90" s="712"/>
      <c r="G90" s="408"/>
    </row>
    <row r="91" spans="1:11" ht="27" customHeight="1" hidden="1">
      <c r="A91" s="416">
        <v>12</v>
      </c>
      <c r="B91" s="1078" t="s">
        <v>288</v>
      </c>
      <c r="C91" s="1078"/>
      <c r="D91" s="1078"/>
      <c r="E91" s="1078"/>
      <c r="F91" s="1079"/>
      <c r="G91" s="723"/>
      <c r="K91" s="517"/>
    </row>
    <row r="92" spans="1:11" ht="4.5" customHeight="1" hidden="1">
      <c r="A92" s="416"/>
      <c r="B92" s="513"/>
      <c r="C92" s="513"/>
      <c r="D92" s="513"/>
      <c r="E92" s="513"/>
      <c r="F92" s="520"/>
      <c r="G92" s="520"/>
      <c r="K92" s="517"/>
    </row>
    <row r="93" spans="1:7" ht="15" hidden="1">
      <c r="A93" s="416"/>
      <c r="B93" s="714"/>
      <c r="C93" s="717"/>
      <c r="D93" s="718"/>
      <c r="E93" s="719"/>
      <c r="F93" s="720"/>
      <c r="G93" s="408"/>
    </row>
    <row r="94" spans="1:11" ht="27" customHeight="1" hidden="1">
      <c r="A94" s="416">
        <v>13</v>
      </c>
      <c r="B94" s="1078" t="s">
        <v>288</v>
      </c>
      <c r="C94" s="1078"/>
      <c r="D94" s="1078"/>
      <c r="E94" s="1078"/>
      <c r="F94" s="1079"/>
      <c r="G94" s="723"/>
      <c r="K94" s="517"/>
    </row>
    <row r="95" spans="1:11" ht="4.5" customHeight="1" hidden="1">
      <c r="A95" s="416"/>
      <c r="B95" s="513"/>
      <c r="C95" s="513"/>
      <c r="D95" s="513"/>
      <c r="E95" s="513"/>
      <c r="F95" s="520"/>
      <c r="G95" s="520"/>
      <c r="K95" s="517"/>
    </row>
    <row r="96" spans="1:7" ht="15" hidden="1">
      <c r="A96" s="416"/>
      <c r="B96" s="714"/>
      <c r="C96" s="717"/>
      <c r="D96" s="718"/>
      <c r="E96" s="719"/>
      <c r="F96" s="720"/>
      <c r="G96" s="408"/>
    </row>
    <row r="97" spans="1:11" ht="27" customHeight="1" hidden="1">
      <c r="A97" s="416">
        <v>30</v>
      </c>
      <c r="B97" s="1078" t="s">
        <v>288</v>
      </c>
      <c r="C97" s="1078"/>
      <c r="D97" s="1078"/>
      <c r="E97" s="1078"/>
      <c r="F97" s="1079"/>
      <c r="G97" s="723"/>
      <c r="K97" s="517"/>
    </row>
    <row r="98" spans="1:11" ht="4.5" customHeight="1">
      <c r="A98" s="416"/>
      <c r="B98" s="513"/>
      <c r="C98" s="513"/>
      <c r="D98" s="513"/>
      <c r="E98" s="513"/>
      <c r="F98" s="520"/>
      <c r="G98" s="520"/>
      <c r="K98" s="517"/>
    </row>
    <row r="99" spans="1:7" ht="15">
      <c r="A99" s="416"/>
      <c r="B99" s="714"/>
      <c r="C99" s="717"/>
      <c r="D99" s="718"/>
      <c r="E99" s="719"/>
      <c r="F99" s="720"/>
      <c r="G99" s="408" t="s">
        <v>290</v>
      </c>
    </row>
    <row r="100" spans="1:11" ht="27" customHeight="1">
      <c r="A100" s="416">
        <v>31</v>
      </c>
      <c r="B100" s="1078" t="s">
        <v>567</v>
      </c>
      <c r="C100" s="1078"/>
      <c r="D100" s="1078"/>
      <c r="E100" s="1078"/>
      <c r="F100" s="1079"/>
      <c r="G100" s="628"/>
      <c r="K100" s="517"/>
    </row>
    <row r="101" spans="1:11" ht="4.5" customHeight="1">
      <c r="A101" s="416"/>
      <c r="B101" s="513"/>
      <c r="C101" s="513"/>
      <c r="D101" s="513"/>
      <c r="E101" s="513"/>
      <c r="F101" s="520"/>
      <c r="G101" s="520"/>
      <c r="K101" s="517"/>
    </row>
    <row r="102" spans="1:7" ht="15">
      <c r="A102" s="416"/>
      <c r="B102" s="714"/>
      <c r="C102" s="717"/>
      <c r="D102" s="718"/>
      <c r="E102" s="719"/>
      <c r="F102" s="720"/>
      <c r="G102" s="408" t="s">
        <v>290</v>
      </c>
    </row>
    <row r="103" spans="1:11" ht="27" customHeight="1">
      <c r="A103" s="416">
        <v>32</v>
      </c>
      <c r="B103" s="1078" t="s">
        <v>568</v>
      </c>
      <c r="C103" s="1078"/>
      <c r="D103" s="1078"/>
      <c r="E103" s="1078"/>
      <c r="F103" s="1079"/>
      <c r="G103" s="628"/>
      <c r="K103" s="517"/>
    </row>
    <row r="104" spans="1:11" ht="4.5" customHeight="1">
      <c r="A104" s="416"/>
      <c r="B104" s="513"/>
      <c r="C104" s="513"/>
      <c r="D104" s="513"/>
      <c r="E104" s="513"/>
      <c r="F104" s="520"/>
      <c r="G104" s="520"/>
      <c r="K104" s="517"/>
    </row>
    <row r="105" spans="1:7" ht="15">
      <c r="A105" s="416"/>
      <c r="B105" s="714"/>
      <c r="C105" s="717"/>
      <c r="D105" s="718"/>
      <c r="E105" s="719"/>
      <c r="F105" s="720"/>
      <c r="G105" s="408" t="s">
        <v>290</v>
      </c>
    </row>
    <row r="106" spans="1:11" ht="27" customHeight="1">
      <c r="A106" s="416">
        <v>33</v>
      </c>
      <c r="B106" s="1078" t="s">
        <v>569</v>
      </c>
      <c r="C106" s="1078"/>
      <c r="D106" s="1078"/>
      <c r="E106" s="1078"/>
      <c r="F106" s="1079"/>
      <c r="G106" s="628">
        <v>3</v>
      </c>
      <c r="K106" s="517"/>
    </row>
    <row r="107" spans="1:11" ht="4.5" customHeight="1">
      <c r="A107" s="416"/>
      <c r="B107" s="513"/>
      <c r="C107" s="513"/>
      <c r="D107" s="513"/>
      <c r="E107" s="513"/>
      <c r="F107" s="520"/>
      <c r="G107" s="520"/>
      <c r="K107" s="517"/>
    </row>
    <row r="108" spans="1:7" ht="15">
      <c r="A108" s="416"/>
      <c r="B108" s="714"/>
      <c r="C108" s="717"/>
      <c r="D108" s="718"/>
      <c r="E108" s="719"/>
      <c r="F108" s="720"/>
      <c r="G108" s="408" t="s">
        <v>290</v>
      </c>
    </row>
    <row r="109" spans="1:11" ht="27" customHeight="1">
      <c r="A109" s="416">
        <v>34</v>
      </c>
      <c r="B109" s="1078" t="s">
        <v>570</v>
      </c>
      <c r="C109" s="1078"/>
      <c r="D109" s="1078"/>
      <c r="E109" s="1078"/>
      <c r="F109" s="1079"/>
      <c r="G109" s="628"/>
      <c r="K109" s="517"/>
    </row>
    <row r="110" spans="1:11" ht="4.5" customHeight="1" hidden="1">
      <c r="A110" s="416"/>
      <c r="B110" s="513"/>
      <c r="C110" s="513"/>
      <c r="D110" s="513"/>
      <c r="E110" s="513"/>
      <c r="F110" s="520"/>
      <c r="G110" s="520"/>
      <c r="K110" s="517"/>
    </row>
    <row r="111" spans="1:7" ht="15" hidden="1">
      <c r="A111" s="416"/>
      <c r="B111" s="714"/>
      <c r="C111" s="717"/>
      <c r="D111" s="718"/>
      <c r="E111" s="719"/>
      <c r="F111" s="720"/>
      <c r="G111" s="408"/>
    </row>
    <row r="112" spans="1:11" ht="27" customHeight="1" hidden="1">
      <c r="A112" s="416">
        <v>35</v>
      </c>
      <c r="B112" s="1078" t="s">
        <v>288</v>
      </c>
      <c r="C112" s="1078"/>
      <c r="D112" s="1078"/>
      <c r="E112" s="1078"/>
      <c r="F112" s="1079"/>
      <c r="G112" s="723"/>
      <c r="K112" s="517"/>
    </row>
    <row r="113" spans="1:11" ht="4.5" customHeight="1" hidden="1">
      <c r="A113" s="416"/>
      <c r="B113" s="513"/>
      <c r="C113" s="513"/>
      <c r="D113" s="513"/>
      <c r="E113" s="513"/>
      <c r="F113" s="520"/>
      <c r="G113" s="520"/>
      <c r="K113" s="517"/>
    </row>
    <row r="114" spans="1:7" ht="15" hidden="1">
      <c r="A114" s="416"/>
      <c r="B114" s="714"/>
      <c r="C114" s="717"/>
      <c r="D114" s="718"/>
      <c r="E114" s="719"/>
      <c r="F114" s="720"/>
      <c r="G114" s="408"/>
    </row>
    <row r="115" spans="1:11" ht="27" customHeight="1" hidden="1">
      <c r="A115" s="416">
        <v>36</v>
      </c>
      <c r="B115" s="1078" t="s">
        <v>288</v>
      </c>
      <c r="C115" s="1078"/>
      <c r="D115" s="1078"/>
      <c r="E115" s="1078"/>
      <c r="F115" s="1079"/>
      <c r="G115" s="723"/>
      <c r="K115" s="517"/>
    </row>
    <row r="116" spans="1:11" ht="4.5" customHeight="1" hidden="1">
      <c r="A116" s="416"/>
      <c r="B116" s="513"/>
      <c r="C116" s="513"/>
      <c r="D116" s="513"/>
      <c r="E116" s="513"/>
      <c r="F116" s="520"/>
      <c r="G116" s="520"/>
      <c r="K116" s="517"/>
    </row>
    <row r="117" spans="1:7" ht="15" hidden="1">
      <c r="A117" s="416"/>
      <c r="B117" s="714"/>
      <c r="C117" s="717"/>
      <c r="D117" s="718"/>
      <c r="E117" s="719"/>
      <c r="F117" s="720"/>
      <c r="G117" s="408"/>
    </row>
    <row r="118" spans="1:11" ht="27" customHeight="1" hidden="1">
      <c r="A118" s="416">
        <v>37</v>
      </c>
      <c r="B118" s="1078" t="s">
        <v>288</v>
      </c>
      <c r="C118" s="1078"/>
      <c r="D118" s="1078"/>
      <c r="E118" s="1078"/>
      <c r="F118" s="1079"/>
      <c r="G118" s="723"/>
      <c r="K118" s="517"/>
    </row>
    <row r="119" spans="1:11" ht="4.5" customHeight="1" hidden="1">
      <c r="A119" s="416"/>
      <c r="B119" s="513"/>
      <c r="C119" s="513"/>
      <c r="D119" s="513"/>
      <c r="E119" s="513"/>
      <c r="F119" s="520"/>
      <c r="G119" s="520"/>
      <c r="K119" s="517"/>
    </row>
    <row r="120" spans="1:7" ht="15" hidden="1">
      <c r="A120" s="416"/>
      <c r="B120" s="714"/>
      <c r="C120" s="717"/>
      <c r="D120" s="718"/>
      <c r="E120" s="719"/>
      <c r="F120" s="720"/>
      <c r="G120" s="408"/>
    </row>
    <row r="121" spans="1:11" ht="27" customHeight="1" hidden="1">
      <c r="A121" s="416">
        <v>38</v>
      </c>
      <c r="B121" s="1078" t="s">
        <v>288</v>
      </c>
      <c r="C121" s="1078"/>
      <c r="D121" s="1078"/>
      <c r="E121" s="1078"/>
      <c r="F121" s="1079"/>
      <c r="G121" s="723"/>
      <c r="K121" s="517"/>
    </row>
    <row r="122" spans="1:11" ht="4.5" customHeight="1" hidden="1">
      <c r="A122" s="416"/>
      <c r="B122" s="513"/>
      <c r="C122" s="513"/>
      <c r="D122" s="513"/>
      <c r="E122" s="513"/>
      <c r="F122" s="520"/>
      <c r="G122" s="520"/>
      <c r="K122" s="517"/>
    </row>
    <row r="123" spans="1:7" ht="15" hidden="1">
      <c r="A123" s="416"/>
      <c r="B123" s="714"/>
      <c r="C123" s="717"/>
      <c r="D123" s="718"/>
      <c r="E123" s="719"/>
      <c r="F123" s="720"/>
      <c r="G123" s="408"/>
    </row>
    <row r="124" spans="1:11" ht="27" customHeight="1" hidden="1">
      <c r="A124" s="416">
        <v>39</v>
      </c>
      <c r="B124" s="1078" t="s">
        <v>288</v>
      </c>
      <c r="C124" s="1078"/>
      <c r="D124" s="1078"/>
      <c r="E124" s="1078"/>
      <c r="F124" s="1079"/>
      <c r="G124" s="723"/>
      <c r="K124" s="517"/>
    </row>
    <row r="125" spans="1:11" ht="4.5" customHeight="1" hidden="1">
      <c r="A125" s="416"/>
      <c r="B125" s="513"/>
      <c r="C125" s="513"/>
      <c r="D125" s="513"/>
      <c r="E125" s="513"/>
      <c r="F125" s="520"/>
      <c r="G125" s="520"/>
      <c r="K125" s="517"/>
    </row>
    <row r="126" spans="1:7" ht="15" hidden="1">
      <c r="A126" s="416"/>
      <c r="B126" s="714"/>
      <c r="C126" s="717"/>
      <c r="D126" s="718"/>
      <c r="E126" s="719"/>
      <c r="F126" s="720"/>
      <c r="G126" s="408"/>
    </row>
    <row r="127" spans="1:11" ht="27" customHeight="1" hidden="1">
      <c r="A127" s="416">
        <v>40</v>
      </c>
      <c r="B127" s="1078" t="s">
        <v>288</v>
      </c>
      <c r="C127" s="1078"/>
      <c r="D127" s="1078"/>
      <c r="E127" s="1078"/>
      <c r="F127" s="1079"/>
      <c r="G127" s="723"/>
      <c r="K127" s="517"/>
    </row>
    <row r="128" spans="1:11" ht="4.5" customHeight="1" hidden="1">
      <c r="A128" s="416"/>
      <c r="B128" s="513"/>
      <c r="C128" s="513"/>
      <c r="D128" s="513"/>
      <c r="E128" s="513"/>
      <c r="F128" s="520"/>
      <c r="G128" s="520"/>
      <c r="K128" s="517"/>
    </row>
    <row r="129" spans="1:7" ht="15" hidden="1">
      <c r="A129" s="416"/>
      <c r="B129" s="714"/>
      <c r="C129" s="717"/>
      <c r="D129" s="718"/>
      <c r="E129" s="719"/>
      <c r="F129" s="720"/>
      <c r="G129" s="408"/>
    </row>
    <row r="130" spans="1:11" ht="27" customHeight="1" hidden="1">
      <c r="A130" s="416">
        <v>41</v>
      </c>
      <c r="B130" s="1078" t="s">
        <v>288</v>
      </c>
      <c r="C130" s="1078"/>
      <c r="D130" s="1078"/>
      <c r="E130" s="1078"/>
      <c r="F130" s="1079"/>
      <c r="G130" s="723"/>
      <c r="K130" s="517"/>
    </row>
    <row r="131" spans="1:11" ht="4.5" customHeight="1" hidden="1">
      <c r="A131" s="416"/>
      <c r="B131" s="513"/>
      <c r="C131" s="513"/>
      <c r="D131" s="513"/>
      <c r="E131" s="513"/>
      <c r="F131" s="520"/>
      <c r="G131" s="520"/>
      <c r="K131" s="517"/>
    </row>
    <row r="132" spans="1:7" ht="15" hidden="1">
      <c r="A132" s="416"/>
      <c r="B132" s="714"/>
      <c r="C132" s="717"/>
      <c r="D132" s="718"/>
      <c r="E132" s="719"/>
      <c r="F132" s="720"/>
      <c r="G132" s="408"/>
    </row>
    <row r="133" spans="1:11" ht="27" customHeight="1" hidden="1">
      <c r="A133" s="416">
        <v>42</v>
      </c>
      <c r="B133" s="1078" t="s">
        <v>288</v>
      </c>
      <c r="C133" s="1078"/>
      <c r="D133" s="1078"/>
      <c r="E133" s="1078"/>
      <c r="F133" s="1079"/>
      <c r="G133" s="723"/>
      <c r="K133" s="517"/>
    </row>
    <row r="134" spans="1:11" ht="4.5" customHeight="1" hidden="1">
      <c r="A134" s="416"/>
      <c r="B134" s="513"/>
      <c r="C134" s="513"/>
      <c r="D134" s="513"/>
      <c r="E134" s="513"/>
      <c r="F134" s="520"/>
      <c r="G134" s="520"/>
      <c r="K134" s="517"/>
    </row>
    <row r="135" spans="1:7" ht="15" hidden="1">
      <c r="A135" s="416"/>
      <c r="B135" s="714"/>
      <c r="C135" s="717"/>
      <c r="D135" s="718"/>
      <c r="E135" s="719"/>
      <c r="F135" s="720"/>
      <c r="G135" s="408"/>
    </row>
    <row r="136" spans="1:11" ht="27" customHeight="1" hidden="1">
      <c r="A136" s="416">
        <v>43</v>
      </c>
      <c r="B136" s="1078" t="s">
        <v>288</v>
      </c>
      <c r="C136" s="1078"/>
      <c r="D136" s="1078"/>
      <c r="E136" s="1078"/>
      <c r="F136" s="1079"/>
      <c r="G136" s="723"/>
      <c r="K136" s="517"/>
    </row>
    <row r="137" spans="1:11" ht="4.5" customHeight="1" hidden="1">
      <c r="A137" s="416"/>
      <c r="B137" s="513"/>
      <c r="C137" s="513"/>
      <c r="D137" s="513"/>
      <c r="E137" s="513"/>
      <c r="F137" s="520"/>
      <c r="G137" s="520"/>
      <c r="K137" s="517"/>
    </row>
    <row r="138" spans="1:7" ht="15" hidden="1">
      <c r="A138" s="416"/>
      <c r="B138" s="714"/>
      <c r="C138" s="717"/>
      <c r="D138" s="718"/>
      <c r="E138" s="719"/>
      <c r="F138" s="720"/>
      <c r="G138" s="408"/>
    </row>
    <row r="139" spans="1:11" ht="27" customHeight="1" hidden="1">
      <c r="A139" s="416">
        <v>44</v>
      </c>
      <c r="B139" s="1078" t="s">
        <v>288</v>
      </c>
      <c r="C139" s="1078"/>
      <c r="D139" s="1078"/>
      <c r="E139" s="1078"/>
      <c r="F139" s="1079"/>
      <c r="G139" s="723"/>
      <c r="K139" s="517"/>
    </row>
    <row r="140" spans="1:11" ht="4.5" customHeight="1" hidden="1">
      <c r="A140" s="416"/>
      <c r="B140" s="513"/>
      <c r="C140" s="513"/>
      <c r="D140" s="513"/>
      <c r="E140" s="513"/>
      <c r="F140" s="520"/>
      <c r="G140" s="520"/>
      <c r="K140" s="517"/>
    </row>
    <row r="141" spans="1:7" ht="15" hidden="1">
      <c r="A141" s="416"/>
      <c r="B141" s="714"/>
      <c r="C141" s="717"/>
      <c r="D141" s="718"/>
      <c r="E141" s="719"/>
      <c r="F141" s="720"/>
      <c r="G141" s="408"/>
    </row>
    <row r="142" spans="1:11" ht="27" customHeight="1" hidden="1">
      <c r="A142" s="416">
        <v>45</v>
      </c>
      <c r="B142" s="1078" t="s">
        <v>288</v>
      </c>
      <c r="C142" s="1078"/>
      <c r="D142" s="1078"/>
      <c r="E142" s="1078"/>
      <c r="F142" s="1079"/>
      <c r="G142" s="723"/>
      <c r="K142" s="517"/>
    </row>
    <row r="143" spans="1:11" ht="4.5" customHeight="1" hidden="1">
      <c r="A143" s="416"/>
      <c r="B143" s="513"/>
      <c r="C143" s="513"/>
      <c r="D143" s="513"/>
      <c r="E143" s="513"/>
      <c r="F143" s="520"/>
      <c r="G143" s="520"/>
      <c r="K143" s="517"/>
    </row>
    <row r="144" spans="1:7" ht="15" hidden="1">
      <c r="A144" s="416"/>
      <c r="B144" s="714"/>
      <c r="C144" s="717"/>
      <c r="D144" s="718"/>
      <c r="E144" s="719"/>
      <c r="F144" s="720"/>
      <c r="G144" s="408"/>
    </row>
    <row r="145" spans="1:11" ht="27" customHeight="1" hidden="1">
      <c r="A145" s="416">
        <v>46</v>
      </c>
      <c r="B145" s="1078" t="s">
        <v>288</v>
      </c>
      <c r="C145" s="1078"/>
      <c r="D145" s="1078"/>
      <c r="E145" s="1078"/>
      <c r="F145" s="1079"/>
      <c r="G145" s="723"/>
      <c r="K145" s="517"/>
    </row>
    <row r="146" spans="1:11" s="1005" customFormat="1" ht="27" customHeight="1" hidden="1">
      <c r="A146" s="1001"/>
      <c r="B146" s="1002"/>
      <c r="C146" s="1002"/>
      <c r="D146" s="1002"/>
      <c r="E146" s="1002"/>
      <c r="F146" s="1003"/>
      <c r="G146" s="1004"/>
      <c r="K146" s="1006"/>
    </row>
    <row r="147" spans="1:11" s="1005" customFormat="1" ht="27" customHeight="1" hidden="1">
      <c r="A147" s="1001"/>
      <c r="B147" s="1002"/>
      <c r="C147" s="1002"/>
      <c r="D147" s="1002"/>
      <c r="E147" s="1002"/>
      <c r="F147" s="1003"/>
      <c r="G147" s="1004"/>
      <c r="K147" s="1006"/>
    </row>
    <row r="148" spans="1:11" s="1005" customFormat="1" ht="27" customHeight="1" hidden="1">
      <c r="A148" s="1001"/>
      <c r="B148" s="1002"/>
      <c r="C148" s="1002"/>
      <c r="D148" s="1002"/>
      <c r="E148" s="1002"/>
      <c r="F148" s="1003"/>
      <c r="G148" s="1004"/>
      <c r="K148" s="1006"/>
    </row>
    <row r="149" spans="1:11" s="1005" customFormat="1" ht="27" customHeight="1" hidden="1">
      <c r="A149" s="1001"/>
      <c r="B149" s="1002"/>
      <c r="C149" s="1002"/>
      <c r="D149" s="1002"/>
      <c r="E149" s="1002"/>
      <c r="F149" s="1003"/>
      <c r="G149" s="1004"/>
      <c r="K149" s="1006"/>
    </row>
    <row r="150" spans="1:11" s="1005" customFormat="1" ht="27" customHeight="1" hidden="1">
      <c r="A150" s="1001"/>
      <c r="B150" s="1002"/>
      <c r="C150" s="1002"/>
      <c r="D150" s="1002"/>
      <c r="E150" s="1002"/>
      <c r="F150" s="1003"/>
      <c r="G150" s="1004"/>
      <c r="K150" s="1006"/>
    </row>
    <row r="151" spans="1:11" s="1005" customFormat="1" ht="27" customHeight="1" hidden="1">
      <c r="A151" s="1001"/>
      <c r="B151" s="1002"/>
      <c r="C151" s="1002"/>
      <c r="D151" s="1002"/>
      <c r="E151" s="1002"/>
      <c r="F151" s="1003"/>
      <c r="G151" s="1004"/>
      <c r="K151" s="1006"/>
    </row>
    <row r="152" spans="1:11" s="1005" customFormat="1" ht="27" customHeight="1" hidden="1">
      <c r="A152" s="1001"/>
      <c r="B152" s="1002"/>
      <c r="C152" s="1002"/>
      <c r="D152" s="1002"/>
      <c r="E152" s="1002"/>
      <c r="F152" s="1003"/>
      <c r="G152" s="1004"/>
      <c r="K152" s="1006"/>
    </row>
    <row r="153" spans="1:11" s="1005" customFormat="1" ht="27" customHeight="1" hidden="1">
      <c r="A153" s="1001"/>
      <c r="B153" s="1002"/>
      <c r="C153" s="1002"/>
      <c r="D153" s="1002"/>
      <c r="E153" s="1002"/>
      <c r="F153" s="1003"/>
      <c r="G153" s="1004"/>
      <c r="K153" s="1006"/>
    </row>
    <row r="154" spans="1:11" s="1005" customFormat="1" ht="27" customHeight="1" hidden="1">
      <c r="A154" s="1001"/>
      <c r="B154" s="1002"/>
      <c r="C154" s="1002"/>
      <c r="D154" s="1002"/>
      <c r="E154" s="1002"/>
      <c r="F154" s="1003"/>
      <c r="G154" s="1004"/>
      <c r="K154" s="1006"/>
    </row>
    <row r="155" spans="1:11" s="1005" customFormat="1" ht="27" customHeight="1" hidden="1">
      <c r="A155" s="1001"/>
      <c r="B155" s="1002"/>
      <c r="C155" s="1002"/>
      <c r="D155" s="1002"/>
      <c r="E155" s="1002"/>
      <c r="F155" s="1003"/>
      <c r="G155" s="1004"/>
      <c r="K155" s="1006"/>
    </row>
    <row r="156" spans="1:11" ht="20.25" customHeight="1">
      <c r="A156" s="416"/>
      <c r="B156" s="513"/>
      <c r="C156" s="513"/>
      <c r="D156" s="513"/>
      <c r="E156" s="513"/>
      <c r="F156" s="520"/>
      <c r="G156" s="388"/>
      <c r="K156" s="517"/>
    </row>
    <row r="157" spans="1:7" ht="33" customHeight="1">
      <c r="A157" s="416"/>
      <c r="B157" s="1103" t="s">
        <v>674</v>
      </c>
      <c r="C157" s="1104"/>
      <c r="D157" s="1104"/>
      <c r="E157" s="1104"/>
      <c r="F157" s="1104"/>
      <c r="G157" s="1105"/>
    </row>
    <row r="158" spans="1:11" ht="41.25" customHeight="1">
      <c r="A158" s="416"/>
      <c r="B158" s="1106"/>
      <c r="C158" s="1107"/>
      <c r="D158" s="1107"/>
      <c r="E158" s="1107"/>
      <c r="F158" s="1107"/>
      <c r="G158" s="1108"/>
      <c r="K158" s="517">
        <f>IF(LEN(B158)&gt;1500,"IL NUMERO MASSIMO DI CARATTERI CONSENTITO E' 1500","")</f>
      </c>
    </row>
    <row r="159" spans="1:11" ht="12.75" customHeight="1">
      <c r="A159" s="416"/>
      <c r="B159" s="1109"/>
      <c r="C159" s="1110"/>
      <c r="D159" s="1110"/>
      <c r="E159" s="1110"/>
      <c r="F159" s="1110"/>
      <c r="G159" s="1111"/>
      <c r="K159" s="517"/>
    </row>
    <row r="160" spans="1:7" ht="12.75" customHeight="1">
      <c r="A160" s="416"/>
      <c r="B160" s="1109"/>
      <c r="C160" s="1110"/>
      <c r="D160" s="1110"/>
      <c r="E160" s="1110"/>
      <c r="F160" s="1110"/>
      <c r="G160" s="1111"/>
    </row>
    <row r="161" spans="1:7" ht="12.75" customHeight="1">
      <c r="A161" s="416"/>
      <c r="B161" s="1109"/>
      <c r="C161" s="1110"/>
      <c r="D161" s="1110"/>
      <c r="E161" s="1110"/>
      <c r="F161" s="1110"/>
      <c r="G161" s="1111"/>
    </row>
    <row r="162" spans="1:7" ht="12.75" customHeight="1">
      <c r="A162" s="416"/>
      <c r="B162" s="1112"/>
      <c r="C162" s="1113"/>
      <c r="D162" s="1113"/>
      <c r="E162" s="1113"/>
      <c r="F162" s="1113"/>
      <c r="G162" s="1114"/>
    </row>
    <row r="163" spans="2:7" ht="38.25" customHeight="1">
      <c r="B163" s="1102" t="s">
        <v>321</v>
      </c>
      <c r="C163" s="1102"/>
      <c r="D163" s="1102"/>
      <c r="E163" s="1102"/>
      <c r="F163" s="1102"/>
      <c r="G163" s="1102"/>
    </row>
    <row r="164" ht="51" customHeight="1">
      <c r="C164" s="624"/>
    </row>
    <row r="165" spans="1:7" s="588" customFormat="1" ht="38.25" customHeight="1">
      <c r="A165" s="629"/>
      <c r="B165" s="1100" t="s">
        <v>411</v>
      </c>
      <c r="C165" s="1101"/>
      <c r="D165" s="1101"/>
      <c r="E165" s="1101"/>
      <c r="F165" s="1101"/>
      <c r="G165" s="1101"/>
    </row>
    <row r="166" ht="51.75" customHeight="1">
      <c r="C166" s="624"/>
    </row>
    <row r="167" ht="18" customHeight="1">
      <c r="C167" s="624"/>
    </row>
    <row r="168" spans="1:11" ht="33.75" customHeight="1">
      <c r="A168" s="409"/>
      <c r="B168" s="1098" t="s">
        <v>736</v>
      </c>
      <c r="C168" s="1098"/>
      <c r="D168" s="1098"/>
      <c r="E168" s="1098"/>
      <c r="F168" s="1098"/>
      <c r="G168" s="1098"/>
      <c r="H168" s="521"/>
      <c r="I168" s="521"/>
      <c r="J168" s="521"/>
      <c r="K168" s="521"/>
    </row>
    <row r="169" spans="1:7" s="1066" customFormat="1" ht="12.75">
      <c r="A169" s="1063"/>
      <c r="B169" s="1064" t="s">
        <v>333</v>
      </c>
      <c r="C169" s="1064">
        <f>IF(COCOCO!$I$24&gt;0,1,0)</f>
        <v>1</v>
      </c>
      <c r="D169" s="1065"/>
      <c r="E169" s="1064" t="s">
        <v>408</v>
      </c>
      <c r="F169" s="1064">
        <f>IF(AND('t1'!L31+'t1'!M31&gt;0,'t1'!E31=0),1,0)</f>
        <v>0</v>
      </c>
      <c r="G169" s="1065"/>
    </row>
    <row r="170" spans="1:7" s="1066" customFormat="1" ht="12.75">
      <c r="A170" s="1063"/>
      <c r="B170" s="1064" t="s">
        <v>21</v>
      </c>
      <c r="C170" s="1064">
        <f>IF(('t1'!$E$31+'t1'!$L$31+'t1'!$M$31)&gt;0,1,0)</f>
        <v>1</v>
      </c>
      <c r="D170" s="1065"/>
      <c r="E170" s="1064" t="s">
        <v>22</v>
      </c>
      <c r="F170" s="1064">
        <f>IF(COUNTIF('Squadratura 1'!J6:J30,"ERRORE")=0,0,1)</f>
        <v>1</v>
      </c>
      <c r="G170" s="1065"/>
    </row>
    <row r="171" spans="1:7" s="1066" customFormat="1" ht="12.75">
      <c r="A171" s="1063"/>
      <c r="B171" s="1064" t="s">
        <v>23</v>
      </c>
      <c r="C171" s="1064">
        <f>IF(SUM('t2'!C9:P9)&gt;0,1,0)</f>
        <v>1</v>
      </c>
      <c r="D171" s="1065"/>
      <c r="E171" s="1064" t="s">
        <v>24</v>
      </c>
      <c r="F171" s="1064">
        <f>IF(OR('Squadratura 2'!G32="ERRORE",'Squadratura 2'!L32="ERRORE"),1,0)</f>
        <v>0</v>
      </c>
      <c r="G171" s="1065"/>
    </row>
    <row r="172" spans="1:7" s="1066" customFormat="1" ht="12.75">
      <c r="A172" s="1063"/>
      <c r="B172" s="1064" t="s">
        <v>332</v>
      </c>
      <c r="C172" s="1064">
        <f>IF('t2A'!$T$15&gt;0,1,0)</f>
        <v>1</v>
      </c>
      <c r="D172" s="1065"/>
      <c r="E172" s="1064" t="s">
        <v>26</v>
      </c>
      <c r="F172" s="1064">
        <f>IF(OR('Squadratura 3'!N33="ERRORE",'Squadratura 3'!O33="ERRORE",'Squadratura 3'!AA33="ERRORE",'Squadratura 3'!AB33="ERRORE"),1,0)</f>
        <v>0</v>
      </c>
      <c r="G172" s="1065"/>
    </row>
    <row r="173" spans="1:11" s="1066" customFormat="1" ht="12.75">
      <c r="A173" s="1063"/>
      <c r="B173" s="1064" t="s">
        <v>25</v>
      </c>
      <c r="C173" s="1064">
        <f>IF(SUM('t3'!C31:R31)&gt;0,1,0)</f>
        <v>0</v>
      </c>
      <c r="D173" s="1065"/>
      <c r="E173" s="1064" t="s">
        <v>28</v>
      </c>
      <c r="F173" s="1064">
        <f>IF(COUNTIF('Squadratura 4'!I6:I30,"ERRORE")=0,0,1)</f>
        <v>0</v>
      </c>
      <c r="G173" s="1065"/>
      <c r="K173" s="1067"/>
    </row>
    <row r="174" spans="1:11" s="1066" customFormat="1" ht="12.75">
      <c r="A174" s="1063"/>
      <c r="B174" s="1064" t="s">
        <v>27</v>
      </c>
      <c r="C174" s="1064">
        <f>IF(('t4'!$AB$31)&gt;0,1,0)</f>
        <v>0</v>
      </c>
      <c r="D174" s="1065"/>
      <c r="E174" s="1064" t="s">
        <v>32</v>
      </c>
      <c r="F174" s="1064">
        <f>IF(COUNTIF('Incongruenze 1 e 11'!D5:D7,"OK")=3,0,1)</f>
        <v>0</v>
      </c>
      <c r="G174" s="1064"/>
      <c r="K174" s="1067"/>
    </row>
    <row r="175" spans="1:11" s="1066" customFormat="1" ht="12.75">
      <c r="A175" s="1063"/>
      <c r="B175" s="1064" t="s">
        <v>29</v>
      </c>
      <c r="C175" s="1064">
        <f>IF(('t5'!$S$32+'t5'!$T$32)&gt;0,1,0)</f>
        <v>1</v>
      </c>
      <c r="D175" s="1065"/>
      <c r="E175" s="1064" t="s">
        <v>34</v>
      </c>
      <c r="F175" s="1064">
        <f>IF(COUNTIF('Incongruenza 2'!I6:I30,"ERRORE")=0,0,1)</f>
        <v>0</v>
      </c>
      <c r="G175" s="1065"/>
      <c r="K175" s="1067"/>
    </row>
    <row r="176" spans="1:11" s="1066" customFormat="1" ht="12.75">
      <c r="A176" s="1063"/>
      <c r="B176" s="1064" t="s">
        <v>30</v>
      </c>
      <c r="C176" s="1064">
        <f>IF(('t6'!$U$32+'t6'!$V$32)&gt;0,1,0)</f>
        <v>0</v>
      </c>
      <c r="D176" s="1065"/>
      <c r="E176" s="1064" t="s">
        <v>584</v>
      </c>
      <c r="F176" s="1064">
        <f>IF(COUNTIF('Incongruenze 3, 12 e 13'!D5:D7,"OK")=3,0,1)</f>
        <v>0</v>
      </c>
      <c r="G176" s="1065"/>
      <c r="K176" s="1067"/>
    </row>
    <row r="177" spans="1:11" s="1066" customFormat="1" ht="12.75">
      <c r="A177" s="1063"/>
      <c r="B177" s="1064" t="s">
        <v>31</v>
      </c>
      <c r="C177" s="1064">
        <f>IF(('t7'!$W$31+'t7'!$X$31)&gt;0,1,0)</f>
        <v>1</v>
      </c>
      <c r="D177" s="1065"/>
      <c r="E177" s="1064" t="s">
        <v>36</v>
      </c>
      <c r="F177" s="1064">
        <f>IF(OR(AND('Incongruenza 4 e controlli t14'!F21=" ",'Incongruenza 4 e controlli t14'!F23=" "),AND('Incongruenza 4 e controlli t14'!F21="OK",'Incongruenza 4 e controlli t14'!F23="OK"),AND('Incongruenza 4 e controlli t14'!F23="E' stata dichiarata IRAP Commerciale")),0,1)</f>
        <v>0</v>
      </c>
      <c r="G177" s="1065"/>
      <c r="K177" s="1067"/>
    </row>
    <row r="178" spans="1:11" s="1066" customFormat="1" ht="12.75">
      <c r="A178" s="1063"/>
      <c r="B178" s="1064" t="s">
        <v>33</v>
      </c>
      <c r="C178" s="1064">
        <f>IF(('t8'!$AA$31+'t8'!$AB$31)&gt;0,1,0)</f>
        <v>1</v>
      </c>
      <c r="D178" s="1065"/>
      <c r="E178" s="1064" t="s">
        <v>38</v>
      </c>
      <c r="F178" s="1064">
        <f>IF(COUNTIF('Incongruenza 5'!G6:G30,"ERRORE")=0,0,1)</f>
        <v>1</v>
      </c>
      <c r="G178" s="1065"/>
      <c r="K178" s="1067"/>
    </row>
    <row r="179" spans="1:11" s="1066" customFormat="1" ht="12.75">
      <c r="A179" s="1063"/>
      <c r="B179" s="1064" t="s">
        <v>35</v>
      </c>
      <c r="C179" s="1064">
        <f>IF(('t9'!$O$31+'t9'!$P$31)&gt;0,1,0)</f>
        <v>1</v>
      </c>
      <c r="D179" s="1065"/>
      <c r="E179" s="1064" t="s">
        <v>40</v>
      </c>
      <c r="F179" s="1064">
        <f>IF(COUNTIF('Incongruenza 6'!E6:E30,"ERRORE")=0,0,1)</f>
        <v>1</v>
      </c>
      <c r="G179" s="1065"/>
      <c r="K179" s="1067"/>
    </row>
    <row r="180" spans="1:11" s="1066" customFormat="1" ht="12.75">
      <c r="A180" s="1063"/>
      <c r="B180" s="1064" t="s">
        <v>37</v>
      </c>
      <c r="C180" s="1064">
        <f>IF(('t10'!$AU$31+'t10'!$AV$31)&gt;0,1,0)</f>
        <v>1</v>
      </c>
      <c r="D180" s="1065"/>
      <c r="E180" s="1064" t="s">
        <v>42</v>
      </c>
      <c r="F180" s="1064">
        <f>IF(COUNTIF('Incongruenza 7'!I6:I30,"ERRORE")=0,0,1)</f>
        <v>0</v>
      </c>
      <c r="G180" s="1065"/>
      <c r="K180" s="1067"/>
    </row>
    <row r="181" spans="1:7" s="1066" customFormat="1" ht="12.75">
      <c r="A181" s="1063"/>
      <c r="B181" s="1064" t="s">
        <v>39</v>
      </c>
      <c r="C181" s="1064">
        <f>IF(('t11'!$U$33+'t11'!$V$33)&gt;0,1,0)</f>
        <v>1</v>
      </c>
      <c r="D181" s="1065"/>
      <c r="E181" s="1064" t="s">
        <v>431</v>
      </c>
      <c r="F181" s="1064">
        <f>IF(COUNTIF('Incongruenza 8'!J6:J30,"ERRORE")=0,0,1)</f>
        <v>0</v>
      </c>
      <c r="G181" s="1065"/>
    </row>
    <row r="182" spans="1:7" s="1066" customFormat="1" ht="12.75">
      <c r="A182" s="1063"/>
      <c r="B182" s="1064" t="s">
        <v>41</v>
      </c>
      <c r="C182" s="1064">
        <f>IF(('t12'!$J$31+'t12'!$C$31)&gt;0,1,0)</f>
        <v>0</v>
      </c>
      <c r="D182" s="1065"/>
      <c r="E182" s="1065" t="s">
        <v>682</v>
      </c>
      <c r="F182" s="1064">
        <f>IF(COUNTIF('Incongruenza 10'!K9:L9,"OK")=2,0,1)</f>
        <v>0</v>
      </c>
      <c r="G182" s="1065"/>
    </row>
    <row r="183" spans="1:7" s="1066" customFormat="1" ht="12.75">
      <c r="A183" s="1063"/>
      <c r="B183" s="1064" t="s">
        <v>43</v>
      </c>
      <c r="C183" s="1064">
        <f>IF(('t13'!$V$31)&gt;0,1,0)</f>
        <v>1</v>
      </c>
      <c r="D183" s="1065"/>
      <c r="E183" s="1065" t="s">
        <v>731</v>
      </c>
      <c r="F183" s="1064">
        <f>IF(COUNTIF('Incongruenze 1 e 11'!D13:D20,"OK")=6,0,1)</f>
        <v>0</v>
      </c>
      <c r="G183" s="1065"/>
    </row>
    <row r="184" spans="1:7" s="1066" customFormat="1" ht="12.75">
      <c r="A184" s="1063"/>
      <c r="B184" s="1064" t="s">
        <v>44</v>
      </c>
      <c r="C184" s="1064">
        <f>IF(('Incongruenza 4 e controlli t14'!$C$31)&gt;0,1,0)</f>
        <v>1</v>
      </c>
      <c r="D184" s="1065"/>
      <c r="E184" s="1065" t="s">
        <v>732</v>
      </c>
      <c r="F184" s="1064">
        <f>IF(COUNTIF('Incongruenze 3, 12 e 13'!D13:D14,"OK")=2,0,1)</f>
        <v>0</v>
      </c>
      <c r="G184" s="1065"/>
    </row>
    <row r="185" spans="1:7" s="1066" customFormat="1" ht="12.75">
      <c r="A185" s="1063"/>
      <c r="B185" s="1064" t="s">
        <v>45</v>
      </c>
      <c r="C185" s="1064">
        <f>IF(('t15(1)'!$C$32+'t15(1)'!$G$32+'t15(2)'!$C$29+'t15(2)'!$G$29)&gt;0,1,0)</f>
        <v>0</v>
      </c>
      <c r="D185" s="1065"/>
      <c r="E185" s="1065" t="s">
        <v>733</v>
      </c>
      <c r="F185" s="1064">
        <f>IF(COUNTIF('Incongruenze 3, 12 e 13'!D20,"OK")=1,0,1)</f>
        <v>1</v>
      </c>
      <c r="G185" s="1065"/>
    </row>
    <row r="186" spans="1:7" s="1066" customFormat="1" ht="12.75">
      <c r="A186" s="1063"/>
      <c r="B186" s="1064" t="s">
        <v>603</v>
      </c>
      <c r="C186" s="1064">
        <f>IF(('Tabella Riconciliazione'!$F$32)&gt;0,1,0)</f>
        <v>0</v>
      </c>
      <c r="D186" s="1065"/>
      <c r="E186" s="1065" t="s">
        <v>734</v>
      </c>
      <c r="F186" s="1064">
        <f>IF(COUNTIF('Incongruenza 14'!G6:G30,"ERRORE")=0,0,1)</f>
        <v>1</v>
      </c>
      <c r="G186" s="1065"/>
    </row>
    <row r="187" spans="1:7" s="1066" customFormat="1" ht="12.75">
      <c r="A187" s="1063"/>
      <c r="B187" s="1065"/>
      <c r="C187" s="1065"/>
      <c r="D187" s="1065"/>
      <c r="E187" s="1065" t="s">
        <v>735</v>
      </c>
      <c r="F187" s="1064">
        <f>IF(OR('t15(1)'!H11&lt;&gt;"OK",'t15(2)'!H11&lt;&gt;"ok"),1,0)</f>
        <v>0</v>
      </c>
      <c r="G187" s="1065"/>
    </row>
    <row r="188" spans="1:7" s="1066" customFormat="1" ht="12.75">
      <c r="A188" s="1063"/>
      <c r="B188" s="1065"/>
      <c r="C188" s="1065"/>
      <c r="D188" s="1065"/>
      <c r="E188" s="1065"/>
      <c r="F188" s="1065"/>
      <c r="G188" s="1065"/>
    </row>
    <row r="189" spans="1:7" s="521" customFormat="1" ht="12.75">
      <c r="A189" s="409"/>
      <c r="B189" s="799"/>
      <c r="C189" s="799"/>
      <c r="D189" s="799"/>
      <c r="E189" s="411"/>
      <c r="F189" s="411"/>
      <c r="G189" s="799"/>
    </row>
    <row r="190" spans="1:7" s="521" customFormat="1" ht="12.75">
      <c r="A190" s="409"/>
      <c r="B190" s="799"/>
      <c r="C190" s="799"/>
      <c r="D190" s="799"/>
      <c r="E190" s="411"/>
      <c r="F190" s="411"/>
      <c r="G190" s="799"/>
    </row>
    <row r="191" spans="1:7" s="521" customFormat="1" ht="12.75">
      <c r="A191" s="409"/>
      <c r="B191" s="799"/>
      <c r="C191" s="799"/>
      <c r="D191" s="799"/>
      <c r="E191" s="411"/>
      <c r="F191" s="411"/>
      <c r="G191" s="799"/>
    </row>
    <row r="192" spans="1:7" s="521" customFormat="1" ht="12.75">
      <c r="A192" s="409"/>
      <c r="B192" s="799"/>
      <c r="C192" s="799"/>
      <c r="D192" s="799"/>
      <c r="E192" s="411"/>
      <c r="F192" s="411"/>
      <c r="G192" s="799"/>
    </row>
    <row r="193" spans="1:7" s="523" customFormat="1" ht="12.75">
      <c r="A193" s="522"/>
      <c r="B193" s="411"/>
      <c r="C193" s="411"/>
      <c r="D193" s="411"/>
      <c r="E193" s="411"/>
      <c r="F193" s="411"/>
      <c r="G193" s="411"/>
    </row>
    <row r="194" spans="1:7" s="523" customFormat="1" ht="12.75">
      <c r="A194" s="522"/>
      <c r="B194" s="411"/>
      <c r="C194" s="411"/>
      <c r="D194" s="411"/>
      <c r="E194" s="411"/>
      <c r="F194" s="411"/>
      <c r="G194" s="411"/>
    </row>
    <row r="195" spans="1:7" s="523" customFormat="1" ht="12.75">
      <c r="A195" s="522"/>
      <c r="B195" s="411"/>
      <c r="C195" s="411"/>
      <c r="D195" s="411"/>
      <c r="E195" s="411"/>
      <c r="F195" s="411"/>
      <c r="G195" s="411"/>
    </row>
    <row r="196" spans="1:7" s="523" customFormat="1" ht="12.75">
      <c r="A196" s="522"/>
      <c r="B196" s="411"/>
      <c r="C196" s="411"/>
      <c r="D196" s="411"/>
      <c r="E196" s="411"/>
      <c r="F196" s="411"/>
      <c r="G196" s="411"/>
    </row>
    <row r="197" spans="1:7" s="523" customFormat="1" ht="12.75">
      <c r="A197" s="522"/>
      <c r="B197" s="411"/>
      <c r="C197" s="411"/>
      <c r="D197" s="411"/>
      <c r="E197" s="411"/>
      <c r="F197" s="411"/>
      <c r="G197" s="411"/>
    </row>
    <row r="198" spans="1:7" s="523" customFormat="1" ht="12.75">
      <c r="A198" s="522"/>
      <c r="B198" s="411"/>
      <c r="C198" s="411"/>
      <c r="D198" s="411"/>
      <c r="E198" s="411"/>
      <c r="F198" s="411"/>
      <c r="G198" s="411"/>
    </row>
    <row r="199" spans="1:7" s="523" customFormat="1" ht="12.75">
      <c r="A199" s="522"/>
      <c r="B199" s="411"/>
      <c r="C199" s="411"/>
      <c r="D199" s="411"/>
      <c r="E199" s="411"/>
      <c r="F199" s="411"/>
      <c r="G199" s="411"/>
    </row>
    <row r="200" spans="1:7" s="523" customFormat="1" ht="12.75">
      <c r="A200" s="522"/>
      <c r="B200" s="411"/>
      <c r="C200" s="411"/>
      <c r="D200" s="411"/>
      <c r="E200" s="411"/>
      <c r="F200" s="411"/>
      <c r="G200" s="411"/>
    </row>
    <row r="201" spans="1:7" s="523" customFormat="1" ht="12.75">
      <c r="A201" s="522"/>
      <c r="B201" s="411"/>
      <c r="C201" s="411"/>
      <c r="D201" s="411"/>
      <c r="E201" s="411"/>
      <c r="F201" s="411"/>
      <c r="G201" s="411"/>
    </row>
    <row r="202" spans="1:7" s="523" customFormat="1" ht="12.75">
      <c r="A202" s="522"/>
      <c r="B202" s="411"/>
      <c r="C202" s="411"/>
      <c r="D202" s="411"/>
      <c r="E202" s="411"/>
      <c r="F202" s="411"/>
      <c r="G202" s="411"/>
    </row>
    <row r="203" spans="1:7" s="523" customFormat="1" ht="12.75">
      <c r="A203" s="522"/>
      <c r="B203" s="411"/>
      <c r="C203" s="411"/>
      <c r="D203" s="411"/>
      <c r="E203" s="411"/>
      <c r="F203" s="411"/>
      <c r="G203" s="411"/>
    </row>
    <row r="204" spans="1:7" s="523" customFormat="1" ht="12.75">
      <c r="A204" s="522"/>
      <c r="B204" s="411"/>
      <c r="C204" s="411"/>
      <c r="D204" s="411"/>
      <c r="E204" s="411"/>
      <c r="F204" s="411"/>
      <c r="G204" s="411"/>
    </row>
    <row r="205" spans="1:7" s="523" customFormat="1" ht="12.75">
      <c r="A205" s="522"/>
      <c r="B205" s="411"/>
      <c r="C205" s="411"/>
      <c r="D205" s="411"/>
      <c r="E205" s="411"/>
      <c r="F205" s="411"/>
      <c r="G205" s="411"/>
    </row>
    <row r="206" spans="1:7" s="523" customFormat="1" ht="12.75">
      <c r="A206" s="522"/>
      <c r="B206" s="411"/>
      <c r="C206" s="411"/>
      <c r="D206" s="411"/>
      <c r="E206" s="411"/>
      <c r="F206" s="411"/>
      <c r="G206" s="411"/>
    </row>
    <row r="207" spans="1:7" s="523" customFormat="1" ht="12.75">
      <c r="A207" s="522"/>
      <c r="B207" s="411"/>
      <c r="C207" s="411"/>
      <c r="D207" s="411"/>
      <c r="E207" s="411"/>
      <c r="F207" s="411"/>
      <c r="G207" s="411"/>
    </row>
    <row r="208" spans="1:7" s="523" customFormat="1" ht="12.75">
      <c r="A208" s="522"/>
      <c r="B208" s="411"/>
      <c r="C208" s="411"/>
      <c r="D208" s="411"/>
      <c r="E208" s="411"/>
      <c r="F208" s="411"/>
      <c r="G208" s="411"/>
    </row>
    <row r="209" spans="1:7" s="523" customFormat="1" ht="12.75">
      <c r="A209" s="522"/>
      <c r="B209" s="411"/>
      <c r="C209" s="411"/>
      <c r="D209" s="411"/>
      <c r="E209" s="411"/>
      <c r="F209" s="411"/>
      <c r="G209" s="411"/>
    </row>
    <row r="210" spans="1:7" s="523" customFormat="1" ht="12.75">
      <c r="A210" s="522"/>
      <c r="B210" s="411"/>
      <c r="C210" s="411"/>
      <c r="D210" s="411"/>
      <c r="E210" s="411"/>
      <c r="F210" s="411"/>
      <c r="G210" s="411"/>
    </row>
    <row r="211" spans="1:7" s="523" customFormat="1" ht="12.75">
      <c r="A211" s="522"/>
      <c r="B211" s="411"/>
      <c r="C211" s="411"/>
      <c r="D211" s="411"/>
      <c r="E211" s="411"/>
      <c r="F211" s="411"/>
      <c r="G211" s="411"/>
    </row>
    <row r="212" spans="1:7" s="523" customFormat="1" ht="12.75">
      <c r="A212" s="522"/>
      <c r="B212" s="411"/>
      <c r="C212" s="411"/>
      <c r="D212" s="411"/>
      <c r="E212" s="411"/>
      <c r="F212" s="411"/>
      <c r="G212" s="411"/>
    </row>
    <row r="213" spans="1:7" s="523" customFormat="1" ht="12.75">
      <c r="A213" s="522"/>
      <c r="B213" s="411"/>
      <c r="C213" s="411"/>
      <c r="D213" s="411"/>
      <c r="E213" s="411"/>
      <c r="F213" s="411"/>
      <c r="G213" s="411"/>
    </row>
    <row r="214" spans="1:7" s="523" customFormat="1" ht="12.75">
      <c r="A214" s="522"/>
      <c r="B214" s="411"/>
      <c r="C214" s="411"/>
      <c r="D214" s="411"/>
      <c r="E214" s="411"/>
      <c r="F214" s="411"/>
      <c r="G214" s="411"/>
    </row>
    <row r="215" spans="1:7" s="523" customFormat="1" ht="12.75">
      <c r="A215" s="522"/>
      <c r="B215" s="411"/>
      <c r="C215" s="411"/>
      <c r="D215" s="411"/>
      <c r="E215" s="411"/>
      <c r="F215" s="411"/>
      <c r="G215" s="411"/>
    </row>
    <row r="216" spans="1:7" s="523" customFormat="1" ht="12.75">
      <c r="A216" s="522"/>
      <c r="B216" s="411"/>
      <c r="C216" s="411"/>
      <c r="D216" s="411"/>
      <c r="E216" s="411"/>
      <c r="F216" s="411"/>
      <c r="G216" s="411"/>
    </row>
    <row r="217" spans="1:7" s="523" customFormat="1" ht="12.75">
      <c r="A217" s="522"/>
      <c r="B217" s="411"/>
      <c r="C217" s="411"/>
      <c r="D217" s="411"/>
      <c r="E217" s="411"/>
      <c r="F217" s="411"/>
      <c r="G217" s="411"/>
    </row>
    <row r="218" spans="1:7" s="523" customFormat="1" ht="12.75">
      <c r="A218" s="522"/>
      <c r="B218" s="411"/>
      <c r="C218" s="411"/>
      <c r="D218" s="411"/>
      <c r="E218" s="411"/>
      <c r="F218" s="411"/>
      <c r="G218" s="411"/>
    </row>
    <row r="219" spans="1:7" s="523" customFormat="1" ht="12.75">
      <c r="A219" s="522"/>
      <c r="B219" s="411"/>
      <c r="C219" s="411"/>
      <c r="D219" s="411"/>
      <c r="E219" s="411"/>
      <c r="F219" s="411"/>
      <c r="G219" s="411"/>
    </row>
    <row r="220" spans="1:7" s="523" customFormat="1" ht="12.75">
      <c r="A220" s="522"/>
      <c r="B220" s="411"/>
      <c r="C220" s="411"/>
      <c r="D220" s="411"/>
      <c r="E220" s="411"/>
      <c r="F220" s="411"/>
      <c r="G220" s="411"/>
    </row>
    <row r="221" spans="1:7" s="523" customFormat="1" ht="12.75">
      <c r="A221" s="522"/>
      <c r="B221" s="411"/>
      <c r="C221" s="411"/>
      <c r="D221" s="411"/>
      <c r="E221" s="411"/>
      <c r="F221" s="411"/>
      <c r="G221" s="411"/>
    </row>
    <row r="222" spans="1:7" s="523" customFormat="1" ht="12.75">
      <c r="A222" s="522"/>
      <c r="B222" s="411"/>
      <c r="C222" s="411"/>
      <c r="D222" s="411"/>
      <c r="E222" s="411"/>
      <c r="F222" s="411"/>
      <c r="G222" s="411"/>
    </row>
    <row r="223" spans="1:7" s="523" customFormat="1" ht="12.75">
      <c r="A223" s="522"/>
      <c r="B223" s="411"/>
      <c r="C223" s="411"/>
      <c r="D223" s="411"/>
      <c r="E223" s="411"/>
      <c r="F223" s="411"/>
      <c r="G223" s="411"/>
    </row>
    <row r="224" spans="1:7" s="523" customFormat="1" ht="12.75">
      <c r="A224" s="522"/>
      <c r="B224" s="411"/>
      <c r="C224" s="411"/>
      <c r="D224" s="411"/>
      <c r="E224" s="411"/>
      <c r="F224" s="411"/>
      <c r="G224" s="411"/>
    </row>
    <row r="225" spans="1:7" s="523" customFormat="1" ht="12.75">
      <c r="A225" s="522"/>
      <c r="B225" s="411"/>
      <c r="C225" s="411"/>
      <c r="D225" s="411"/>
      <c r="E225" s="411"/>
      <c r="F225" s="411"/>
      <c r="G225" s="411"/>
    </row>
    <row r="226" spans="1:7" s="523" customFormat="1" ht="12.75">
      <c r="A226" s="522"/>
      <c r="B226" s="411"/>
      <c r="C226" s="411"/>
      <c r="D226" s="411"/>
      <c r="E226" s="411"/>
      <c r="F226" s="411"/>
      <c r="G226" s="411"/>
    </row>
    <row r="227" spans="1:7" s="523" customFormat="1" ht="12.75">
      <c r="A227" s="522"/>
      <c r="B227" s="411"/>
      <c r="C227" s="411"/>
      <c r="D227" s="411"/>
      <c r="E227" s="411"/>
      <c r="F227" s="411"/>
      <c r="G227" s="411"/>
    </row>
    <row r="228" spans="1:7" s="523" customFormat="1" ht="12.75">
      <c r="A228" s="522"/>
      <c r="B228" s="411"/>
      <c r="C228" s="411"/>
      <c r="D228" s="411"/>
      <c r="E228" s="411"/>
      <c r="F228" s="411"/>
      <c r="G228" s="411"/>
    </row>
    <row r="229" spans="1:7" s="523" customFormat="1" ht="12.75">
      <c r="A229" s="522"/>
      <c r="B229" s="411"/>
      <c r="C229" s="411"/>
      <c r="D229" s="411"/>
      <c r="E229" s="411"/>
      <c r="F229" s="411"/>
      <c r="G229" s="411"/>
    </row>
    <row r="230" spans="1:7" s="523" customFormat="1" ht="12.75">
      <c r="A230" s="522"/>
      <c r="B230" s="411"/>
      <c r="C230" s="411"/>
      <c r="D230" s="411"/>
      <c r="E230" s="411"/>
      <c r="F230" s="411"/>
      <c r="G230" s="411"/>
    </row>
    <row r="231" spans="1:7" s="523" customFormat="1" ht="12.75">
      <c r="A231" s="522"/>
      <c r="B231" s="411"/>
      <c r="C231" s="411"/>
      <c r="D231" s="411"/>
      <c r="E231" s="411"/>
      <c r="F231" s="411"/>
      <c r="G231" s="411"/>
    </row>
    <row r="232" spans="1:7" s="523" customFormat="1" ht="12.75">
      <c r="A232" s="522"/>
      <c r="B232" s="411"/>
      <c r="C232" s="411"/>
      <c r="D232" s="411"/>
      <c r="E232" s="411"/>
      <c r="F232" s="411"/>
      <c r="G232" s="411"/>
    </row>
    <row r="233" spans="1:7" s="523" customFormat="1" ht="12.75">
      <c r="A233" s="522"/>
      <c r="B233" s="411"/>
      <c r="C233" s="411"/>
      <c r="D233" s="411"/>
      <c r="E233" s="411"/>
      <c r="F233" s="411"/>
      <c r="G233" s="411"/>
    </row>
    <row r="234" spans="1:7" s="523" customFormat="1" ht="12.75">
      <c r="A234" s="522"/>
      <c r="B234" s="411"/>
      <c r="C234" s="411"/>
      <c r="D234" s="411"/>
      <c r="E234" s="411"/>
      <c r="F234" s="411"/>
      <c r="G234" s="411"/>
    </row>
    <row r="235" spans="1:7" s="523" customFormat="1" ht="12.75">
      <c r="A235" s="522"/>
      <c r="B235" s="411"/>
      <c r="C235" s="411"/>
      <c r="D235" s="411"/>
      <c r="E235" s="411"/>
      <c r="F235" s="411"/>
      <c r="G235" s="411"/>
    </row>
    <row r="236" spans="1:7" s="523" customFormat="1" ht="12.75">
      <c r="A236" s="522"/>
      <c r="B236" s="411"/>
      <c r="C236" s="411"/>
      <c r="D236" s="411"/>
      <c r="E236" s="411"/>
      <c r="F236" s="411"/>
      <c r="G236" s="411"/>
    </row>
    <row r="237" spans="1:7" s="523" customFormat="1" ht="12.75">
      <c r="A237" s="522"/>
      <c r="B237" s="411"/>
      <c r="C237" s="411"/>
      <c r="D237" s="411"/>
      <c r="E237" s="411"/>
      <c r="F237" s="411"/>
      <c r="G237" s="411"/>
    </row>
    <row r="238" spans="1:7" s="523" customFormat="1" ht="12.75">
      <c r="A238" s="522"/>
      <c r="B238" s="411"/>
      <c r="C238" s="411"/>
      <c r="D238" s="411"/>
      <c r="E238" s="411"/>
      <c r="F238" s="411"/>
      <c r="G238" s="411"/>
    </row>
    <row r="239" spans="1:7" s="523" customFormat="1" ht="12.75">
      <c r="A239" s="522"/>
      <c r="B239" s="411"/>
      <c r="C239" s="411"/>
      <c r="D239" s="411"/>
      <c r="E239" s="411"/>
      <c r="F239" s="411"/>
      <c r="G239" s="411"/>
    </row>
    <row r="240" spans="1:7" s="523" customFormat="1" ht="12.75">
      <c r="A240" s="522"/>
      <c r="B240" s="411"/>
      <c r="C240" s="411"/>
      <c r="D240" s="411"/>
      <c r="E240" s="411"/>
      <c r="F240" s="411"/>
      <c r="G240" s="411"/>
    </row>
    <row r="241" spans="1:7" s="523" customFormat="1" ht="12.75">
      <c r="A241" s="522"/>
      <c r="B241" s="411"/>
      <c r="C241" s="411"/>
      <c r="D241" s="411"/>
      <c r="E241" s="411"/>
      <c r="F241" s="411"/>
      <c r="G241" s="411"/>
    </row>
    <row r="242" spans="1:7" s="523" customFormat="1" ht="12.75">
      <c r="A242" s="522"/>
      <c r="B242" s="411"/>
      <c r="C242" s="411"/>
      <c r="D242" s="411"/>
      <c r="E242" s="411"/>
      <c r="F242" s="411"/>
      <c r="G242" s="411"/>
    </row>
    <row r="243" spans="1:7" s="523" customFormat="1" ht="12.75">
      <c r="A243" s="522"/>
      <c r="B243" s="411"/>
      <c r="C243" s="411"/>
      <c r="D243" s="411"/>
      <c r="E243" s="411"/>
      <c r="F243" s="411"/>
      <c r="G243" s="411"/>
    </row>
    <row r="244" spans="1:7" s="523" customFormat="1" ht="12.75">
      <c r="A244" s="522"/>
      <c r="B244" s="411"/>
      <c r="C244" s="411"/>
      <c r="D244" s="411"/>
      <c r="E244" s="411"/>
      <c r="F244" s="411"/>
      <c r="G244" s="411"/>
    </row>
    <row r="245" spans="1:7" s="523" customFormat="1" ht="12.75">
      <c r="A245" s="522"/>
      <c r="B245" s="411"/>
      <c r="C245" s="411"/>
      <c r="D245" s="411"/>
      <c r="E245" s="411"/>
      <c r="F245" s="411"/>
      <c r="G245" s="411"/>
    </row>
    <row r="246" spans="1:7" s="523" customFormat="1" ht="12.75">
      <c r="A246" s="522"/>
      <c r="B246" s="411"/>
      <c r="C246" s="411"/>
      <c r="D246" s="411"/>
      <c r="E246" s="411"/>
      <c r="F246" s="411"/>
      <c r="G246" s="411"/>
    </row>
    <row r="247" spans="1:7" s="523" customFormat="1" ht="12.75">
      <c r="A247" s="522"/>
      <c r="B247" s="411"/>
      <c r="C247" s="411"/>
      <c r="D247" s="411"/>
      <c r="E247" s="411"/>
      <c r="F247" s="411"/>
      <c r="G247" s="411"/>
    </row>
    <row r="248" spans="1:7" s="523" customFormat="1" ht="12.75">
      <c r="A248" s="522"/>
      <c r="B248" s="411"/>
      <c r="C248" s="411"/>
      <c r="D248" s="411"/>
      <c r="E248" s="411"/>
      <c r="F248" s="411"/>
      <c r="G248" s="411"/>
    </row>
    <row r="249" spans="1:7" s="523" customFormat="1" ht="12.75">
      <c r="A249" s="522"/>
      <c r="B249" s="411"/>
      <c r="C249" s="411"/>
      <c r="D249" s="411"/>
      <c r="E249" s="411"/>
      <c r="F249" s="411"/>
      <c r="G249" s="411"/>
    </row>
    <row r="250" spans="1:7" s="523" customFormat="1" ht="12.75">
      <c r="A250" s="522"/>
      <c r="B250" s="411"/>
      <c r="C250" s="411"/>
      <c r="D250" s="411"/>
      <c r="E250" s="411"/>
      <c r="F250" s="411"/>
      <c r="G250" s="411"/>
    </row>
    <row r="251" spans="1:7" s="523" customFormat="1" ht="12.75">
      <c r="A251" s="522"/>
      <c r="B251" s="411"/>
      <c r="C251" s="411"/>
      <c r="D251" s="411"/>
      <c r="E251" s="411"/>
      <c r="F251" s="411"/>
      <c r="G251" s="411"/>
    </row>
    <row r="252" spans="1:7" s="523" customFormat="1" ht="12.75">
      <c r="A252" s="522"/>
      <c r="B252" s="411"/>
      <c r="C252" s="411"/>
      <c r="D252" s="411"/>
      <c r="E252" s="411"/>
      <c r="F252" s="411"/>
      <c r="G252" s="411"/>
    </row>
    <row r="253" spans="1:7" s="523" customFormat="1" ht="12.75">
      <c r="A253" s="522"/>
      <c r="B253" s="411"/>
      <c r="C253" s="411"/>
      <c r="D253" s="411"/>
      <c r="E253" s="411"/>
      <c r="F253" s="411"/>
      <c r="G253" s="411"/>
    </row>
    <row r="254" spans="1:7" s="523" customFormat="1" ht="12.75">
      <c r="A254" s="522"/>
      <c r="B254" s="411"/>
      <c r="C254" s="411"/>
      <c r="D254" s="411"/>
      <c r="E254" s="411"/>
      <c r="F254" s="411"/>
      <c r="G254" s="411"/>
    </row>
    <row r="255" spans="1:7" s="523" customFormat="1" ht="12.75">
      <c r="A255" s="522"/>
      <c r="B255" s="411"/>
      <c r="C255" s="411"/>
      <c r="D255" s="411"/>
      <c r="E255" s="411"/>
      <c r="F255" s="411"/>
      <c r="G255" s="411"/>
    </row>
    <row r="256" spans="1:7" s="523" customFormat="1" ht="12.75">
      <c r="A256" s="522"/>
      <c r="B256" s="411"/>
      <c r="C256" s="411"/>
      <c r="D256" s="411"/>
      <c r="E256" s="411"/>
      <c r="F256" s="411"/>
      <c r="G256" s="411"/>
    </row>
    <row r="257" spans="1:7" s="523" customFormat="1" ht="12.75">
      <c r="A257" s="522"/>
      <c r="B257" s="411"/>
      <c r="C257" s="411"/>
      <c r="D257" s="411"/>
      <c r="E257" s="411"/>
      <c r="F257" s="411"/>
      <c r="G257" s="411"/>
    </row>
    <row r="258" spans="1:7" s="523" customFormat="1" ht="12.75">
      <c r="A258" s="522"/>
      <c r="B258" s="411"/>
      <c r="C258" s="411"/>
      <c r="D258" s="411"/>
      <c r="E258" s="411"/>
      <c r="F258" s="411"/>
      <c r="G258" s="411"/>
    </row>
    <row r="259" spans="1:7" s="523" customFormat="1" ht="12.75">
      <c r="A259" s="522"/>
      <c r="B259" s="411"/>
      <c r="C259" s="411"/>
      <c r="D259" s="411"/>
      <c r="E259" s="411"/>
      <c r="F259" s="411"/>
      <c r="G259" s="411"/>
    </row>
    <row r="260" spans="1:7" s="523" customFormat="1" ht="12.75">
      <c r="A260" s="522"/>
      <c r="B260" s="411"/>
      <c r="C260" s="411"/>
      <c r="D260" s="411"/>
      <c r="E260" s="411"/>
      <c r="F260" s="411"/>
      <c r="G260" s="411"/>
    </row>
    <row r="261" spans="1:7" s="523" customFormat="1" ht="12.75">
      <c r="A261" s="522"/>
      <c r="B261" s="411"/>
      <c r="C261" s="411"/>
      <c r="D261" s="411"/>
      <c r="E261" s="411"/>
      <c r="F261" s="411"/>
      <c r="G261" s="411"/>
    </row>
    <row r="262" spans="1:7" s="523" customFormat="1" ht="12.75">
      <c r="A262" s="522"/>
      <c r="B262" s="411"/>
      <c r="C262" s="411"/>
      <c r="D262" s="411"/>
      <c r="E262" s="411"/>
      <c r="F262" s="411"/>
      <c r="G262" s="411"/>
    </row>
    <row r="263" spans="1:7" s="523" customFormat="1" ht="12.75">
      <c r="A263" s="522"/>
      <c r="B263" s="411"/>
      <c r="C263" s="411"/>
      <c r="D263" s="411"/>
      <c r="E263" s="411"/>
      <c r="F263" s="411"/>
      <c r="G263" s="411"/>
    </row>
    <row r="264" spans="1:7" s="523" customFormat="1" ht="12.75">
      <c r="A264" s="522"/>
      <c r="B264" s="411"/>
      <c r="C264" s="411"/>
      <c r="D264" s="411"/>
      <c r="E264" s="411"/>
      <c r="F264" s="411"/>
      <c r="G264" s="411"/>
    </row>
    <row r="265" spans="1:7" s="523" customFormat="1" ht="12.75">
      <c r="A265" s="522"/>
      <c r="B265" s="411"/>
      <c r="C265" s="411"/>
      <c r="D265" s="411"/>
      <c r="E265" s="411"/>
      <c r="F265" s="411"/>
      <c r="G265" s="411"/>
    </row>
    <row r="266" spans="1:7" s="523" customFormat="1" ht="12.75">
      <c r="A266" s="522"/>
      <c r="B266" s="411"/>
      <c r="C266" s="411"/>
      <c r="D266" s="411"/>
      <c r="E266" s="411"/>
      <c r="F266" s="411"/>
      <c r="G266" s="411"/>
    </row>
    <row r="267" spans="1:7" s="523" customFormat="1" ht="12.75">
      <c r="A267" s="522"/>
      <c r="B267" s="411"/>
      <c r="C267" s="411"/>
      <c r="D267" s="411"/>
      <c r="E267" s="411"/>
      <c r="F267" s="411"/>
      <c r="G267" s="411"/>
    </row>
    <row r="268" spans="1:7" s="523" customFormat="1" ht="12.75">
      <c r="A268" s="522"/>
      <c r="B268" s="411"/>
      <c r="C268" s="411"/>
      <c r="D268" s="411"/>
      <c r="E268" s="411"/>
      <c r="F268" s="411"/>
      <c r="G268" s="411"/>
    </row>
    <row r="269" spans="1:7" s="523" customFormat="1" ht="12.75">
      <c r="A269" s="522"/>
      <c r="B269" s="411"/>
      <c r="C269" s="411"/>
      <c r="D269" s="411"/>
      <c r="E269" s="411"/>
      <c r="F269" s="411"/>
      <c r="G269" s="411"/>
    </row>
    <row r="270" spans="1:7" s="523" customFormat="1" ht="12.75">
      <c r="A270" s="522"/>
      <c r="B270" s="411"/>
      <c r="C270" s="411"/>
      <c r="D270" s="411"/>
      <c r="E270" s="411"/>
      <c r="F270" s="411"/>
      <c r="G270" s="411"/>
    </row>
    <row r="271" spans="1:7" s="523" customFormat="1" ht="12.75">
      <c r="A271" s="522"/>
      <c r="B271" s="411"/>
      <c r="C271" s="411"/>
      <c r="D271" s="411"/>
      <c r="E271" s="411"/>
      <c r="F271" s="411"/>
      <c r="G271" s="411"/>
    </row>
    <row r="272" spans="1:7" s="523" customFormat="1" ht="12.75">
      <c r="A272" s="522"/>
      <c r="B272" s="411"/>
      <c r="C272" s="411"/>
      <c r="D272" s="411"/>
      <c r="E272" s="411"/>
      <c r="F272" s="411"/>
      <c r="G272" s="411"/>
    </row>
    <row r="273" spans="1:7" s="523" customFormat="1" ht="12.75">
      <c r="A273" s="522"/>
      <c r="B273" s="411"/>
      <c r="C273" s="411"/>
      <c r="D273" s="411"/>
      <c r="E273" s="411"/>
      <c r="F273" s="411"/>
      <c r="G273" s="411"/>
    </row>
    <row r="274" spans="1:7" s="523" customFormat="1" ht="12.75">
      <c r="A274" s="522"/>
      <c r="B274" s="411"/>
      <c r="C274" s="411"/>
      <c r="D274" s="411"/>
      <c r="E274" s="411"/>
      <c r="F274" s="411"/>
      <c r="G274" s="411"/>
    </row>
    <row r="275" spans="1:7" s="523" customFormat="1" ht="12.75">
      <c r="A275" s="522"/>
      <c r="B275" s="411"/>
      <c r="C275" s="411"/>
      <c r="D275" s="411"/>
      <c r="E275" s="411"/>
      <c r="F275" s="411"/>
      <c r="G275" s="411"/>
    </row>
    <row r="276" spans="1:7" s="523" customFormat="1" ht="12.75">
      <c r="A276" s="522"/>
      <c r="B276" s="411"/>
      <c r="C276" s="411"/>
      <c r="D276" s="411"/>
      <c r="E276" s="411"/>
      <c r="F276" s="411"/>
      <c r="G276" s="411"/>
    </row>
    <row r="277" spans="1:7" s="523" customFormat="1" ht="12.75">
      <c r="A277" s="522"/>
      <c r="B277" s="411"/>
      <c r="C277" s="411"/>
      <c r="D277" s="411"/>
      <c r="E277" s="411"/>
      <c r="F277" s="411"/>
      <c r="G277" s="411"/>
    </row>
    <row r="278" spans="1:7" s="523" customFormat="1" ht="12.75">
      <c r="A278" s="522"/>
      <c r="B278" s="411"/>
      <c r="C278" s="411"/>
      <c r="D278" s="411"/>
      <c r="E278" s="411"/>
      <c r="F278" s="411"/>
      <c r="G278" s="411"/>
    </row>
    <row r="279" spans="1:7" s="523" customFormat="1" ht="12.75">
      <c r="A279" s="522"/>
      <c r="B279" s="411"/>
      <c r="C279" s="411"/>
      <c r="D279" s="411"/>
      <c r="E279" s="411"/>
      <c r="F279" s="411"/>
      <c r="G279" s="411"/>
    </row>
    <row r="280" spans="1:7" s="523" customFormat="1" ht="12.75">
      <c r="A280" s="522"/>
      <c r="B280" s="411"/>
      <c r="C280" s="411"/>
      <c r="D280" s="411"/>
      <c r="E280" s="411"/>
      <c r="F280" s="411"/>
      <c r="G280" s="411"/>
    </row>
    <row r="281" spans="1:7" s="523" customFormat="1" ht="12.75">
      <c r="A281" s="522"/>
      <c r="B281" s="411"/>
      <c r="C281" s="411"/>
      <c r="D281" s="411"/>
      <c r="E281" s="411"/>
      <c r="F281" s="411"/>
      <c r="G281" s="411"/>
    </row>
    <row r="282" spans="1:7" s="523" customFormat="1" ht="12.75">
      <c r="A282" s="522"/>
      <c r="B282" s="411"/>
      <c r="C282" s="411"/>
      <c r="D282" s="411"/>
      <c r="E282" s="411"/>
      <c r="F282" s="411"/>
      <c r="G282" s="411"/>
    </row>
    <row r="283" spans="1:7" s="523" customFormat="1" ht="12.75">
      <c r="A283" s="522"/>
      <c r="B283" s="411"/>
      <c r="C283" s="411"/>
      <c r="D283" s="411"/>
      <c r="E283" s="411"/>
      <c r="F283" s="411"/>
      <c r="G283" s="411"/>
    </row>
    <row r="284" spans="1:7" s="523" customFormat="1" ht="12.75">
      <c r="A284" s="522"/>
      <c r="B284" s="411"/>
      <c r="C284" s="411"/>
      <c r="D284" s="411"/>
      <c r="E284" s="411"/>
      <c r="F284" s="411"/>
      <c r="G284" s="411"/>
    </row>
    <row r="285" spans="1:7" s="523" customFormat="1" ht="12.75">
      <c r="A285" s="522"/>
      <c r="B285" s="411"/>
      <c r="C285" s="411"/>
      <c r="D285" s="411"/>
      <c r="E285" s="411"/>
      <c r="F285" s="411"/>
      <c r="G285" s="411"/>
    </row>
    <row r="286" spans="1:7" s="523" customFormat="1" ht="12.75">
      <c r="A286" s="522"/>
      <c r="B286" s="411"/>
      <c r="C286" s="411"/>
      <c r="D286" s="411"/>
      <c r="E286" s="411"/>
      <c r="F286" s="411"/>
      <c r="G286" s="411"/>
    </row>
    <row r="287" spans="1:7" s="523" customFormat="1" ht="12.75">
      <c r="A287" s="522"/>
      <c r="B287" s="411"/>
      <c r="C287" s="411"/>
      <c r="D287" s="411"/>
      <c r="E287" s="411"/>
      <c r="F287" s="411"/>
      <c r="G287" s="411"/>
    </row>
    <row r="288" spans="1:7" s="523" customFormat="1" ht="12.75">
      <c r="A288" s="522"/>
      <c r="B288" s="411"/>
      <c r="C288" s="411"/>
      <c r="D288" s="411"/>
      <c r="E288" s="411"/>
      <c r="F288" s="411"/>
      <c r="G288" s="411"/>
    </row>
    <row r="289" spans="1:7" s="523" customFormat="1" ht="12.75">
      <c r="A289" s="522"/>
      <c r="B289" s="411"/>
      <c r="C289" s="411"/>
      <c r="D289" s="411"/>
      <c r="E289" s="411"/>
      <c r="F289" s="411"/>
      <c r="G289" s="411"/>
    </row>
    <row r="290" spans="1:7" s="523" customFormat="1" ht="12.75">
      <c r="A290" s="522"/>
      <c r="B290" s="411"/>
      <c r="C290" s="411"/>
      <c r="D290" s="411"/>
      <c r="E290" s="411"/>
      <c r="F290" s="411"/>
      <c r="G290" s="411"/>
    </row>
    <row r="291" spans="1:7" s="523" customFormat="1" ht="12.75">
      <c r="A291" s="522"/>
      <c r="B291" s="411"/>
      <c r="C291" s="411"/>
      <c r="D291" s="411"/>
      <c r="E291" s="411"/>
      <c r="F291" s="411"/>
      <c r="G291" s="411"/>
    </row>
    <row r="292" spans="1:7" s="523" customFormat="1" ht="12.75">
      <c r="A292" s="522"/>
      <c r="B292" s="411"/>
      <c r="C292" s="411"/>
      <c r="D292" s="411"/>
      <c r="E292" s="411"/>
      <c r="F292" s="411"/>
      <c r="G292" s="411"/>
    </row>
    <row r="293" spans="1:7" s="523" customFormat="1" ht="12.75">
      <c r="A293" s="522"/>
      <c r="B293" s="411"/>
      <c r="C293" s="411"/>
      <c r="D293" s="411"/>
      <c r="E293" s="411"/>
      <c r="F293" s="411"/>
      <c r="G293" s="411"/>
    </row>
    <row r="294" spans="1:7" s="523" customFormat="1" ht="12.75">
      <c r="A294" s="522"/>
      <c r="B294" s="411"/>
      <c r="C294" s="411"/>
      <c r="D294" s="411"/>
      <c r="E294" s="411"/>
      <c r="F294" s="411"/>
      <c r="G294" s="411"/>
    </row>
    <row r="295" spans="1:7" s="523" customFormat="1" ht="12.75">
      <c r="A295" s="522"/>
      <c r="B295" s="411"/>
      <c r="C295" s="411"/>
      <c r="D295" s="411"/>
      <c r="E295" s="411"/>
      <c r="F295" s="411"/>
      <c r="G295" s="411"/>
    </row>
    <row r="296" spans="1:7" s="523" customFormat="1" ht="12.75">
      <c r="A296" s="522"/>
      <c r="B296" s="411"/>
      <c r="C296" s="411"/>
      <c r="D296" s="411"/>
      <c r="E296" s="411"/>
      <c r="F296" s="411"/>
      <c r="G296" s="411"/>
    </row>
    <row r="297" spans="1:7" s="523" customFormat="1" ht="12.75">
      <c r="A297" s="522"/>
      <c r="B297" s="411"/>
      <c r="C297" s="411"/>
      <c r="D297" s="411"/>
      <c r="E297" s="411"/>
      <c r="F297" s="411"/>
      <c r="G297" s="411"/>
    </row>
    <row r="298" spans="1:7" s="523" customFormat="1" ht="12.75">
      <c r="A298" s="522"/>
      <c r="B298" s="411"/>
      <c r="C298" s="411"/>
      <c r="D298" s="411"/>
      <c r="E298" s="411"/>
      <c r="F298" s="411"/>
      <c r="G298" s="411"/>
    </row>
    <row r="299" spans="1:7" s="523" customFormat="1" ht="12.75">
      <c r="A299" s="522"/>
      <c r="B299" s="411"/>
      <c r="C299" s="411"/>
      <c r="D299" s="411"/>
      <c r="E299" s="411"/>
      <c r="F299" s="411"/>
      <c r="G299" s="411"/>
    </row>
    <row r="300" spans="1:7" s="523" customFormat="1" ht="12.75">
      <c r="A300" s="522"/>
      <c r="B300" s="411"/>
      <c r="C300" s="411"/>
      <c r="D300" s="411"/>
      <c r="E300" s="411"/>
      <c r="F300" s="411"/>
      <c r="G300" s="411"/>
    </row>
    <row r="301" spans="1:7" s="523" customFormat="1" ht="12.75">
      <c r="A301" s="522"/>
      <c r="B301" s="411"/>
      <c r="C301" s="411"/>
      <c r="D301" s="411"/>
      <c r="E301" s="411"/>
      <c r="F301" s="411"/>
      <c r="G301" s="411"/>
    </row>
    <row r="302" spans="1:7" s="523" customFormat="1" ht="12.75">
      <c r="A302" s="522"/>
      <c r="B302" s="411"/>
      <c r="C302" s="411"/>
      <c r="D302" s="411"/>
      <c r="E302" s="411"/>
      <c r="F302" s="411"/>
      <c r="G302" s="411"/>
    </row>
    <row r="303" spans="1:7" s="523" customFormat="1" ht="12.75">
      <c r="A303" s="522"/>
      <c r="B303" s="411"/>
      <c r="C303" s="411"/>
      <c r="D303" s="411"/>
      <c r="E303" s="411"/>
      <c r="F303" s="411"/>
      <c r="G303" s="411"/>
    </row>
    <row r="304" spans="1:7" s="523" customFormat="1" ht="12.75">
      <c r="A304" s="522"/>
      <c r="B304" s="411"/>
      <c r="C304" s="411"/>
      <c r="D304" s="411"/>
      <c r="E304" s="411"/>
      <c r="F304" s="411"/>
      <c r="G304" s="411"/>
    </row>
    <row r="305" spans="1:7" s="523" customFormat="1" ht="12.75">
      <c r="A305" s="522"/>
      <c r="B305" s="411"/>
      <c r="C305" s="411"/>
      <c r="D305" s="411"/>
      <c r="E305" s="411"/>
      <c r="F305" s="411"/>
      <c r="G305" s="411"/>
    </row>
    <row r="306" spans="1:7" s="523" customFormat="1" ht="12.75">
      <c r="A306" s="522"/>
      <c r="B306" s="411"/>
      <c r="C306" s="411"/>
      <c r="D306" s="411"/>
      <c r="E306" s="411"/>
      <c r="F306" s="411"/>
      <c r="G306" s="411"/>
    </row>
    <row r="307" spans="1:7" s="523" customFormat="1" ht="12.75">
      <c r="A307" s="522"/>
      <c r="B307" s="411"/>
      <c r="C307" s="411"/>
      <c r="D307" s="411"/>
      <c r="E307" s="411"/>
      <c r="F307" s="411"/>
      <c r="G307" s="411"/>
    </row>
    <row r="308" spans="1:7" s="523" customFormat="1" ht="12.75">
      <c r="A308" s="522"/>
      <c r="B308" s="411"/>
      <c r="C308" s="411"/>
      <c r="D308" s="411"/>
      <c r="E308" s="411"/>
      <c r="F308" s="411"/>
      <c r="G308" s="411"/>
    </row>
    <row r="309" spans="1:7" s="523" customFormat="1" ht="12.75">
      <c r="A309" s="522"/>
      <c r="B309" s="411"/>
      <c r="C309" s="411"/>
      <c r="D309" s="411"/>
      <c r="E309" s="385"/>
      <c r="F309" s="385"/>
      <c r="G309" s="411"/>
    </row>
    <row r="310" spans="1:7" s="523" customFormat="1" ht="12.75">
      <c r="A310" s="522"/>
      <c r="B310" s="411"/>
      <c r="C310" s="411"/>
      <c r="D310" s="411"/>
      <c r="E310" s="385"/>
      <c r="F310" s="385"/>
      <c r="G310" s="411"/>
    </row>
    <row r="311" spans="1:7" s="523" customFormat="1" ht="12.75">
      <c r="A311" s="522"/>
      <c r="B311" s="411"/>
      <c r="C311" s="411"/>
      <c r="D311" s="411"/>
      <c r="E311" s="385"/>
      <c r="F311" s="385"/>
      <c r="G311" s="411"/>
    </row>
    <row r="312" spans="1:7" s="523" customFormat="1" ht="12.75">
      <c r="A312" s="522"/>
      <c r="B312" s="385"/>
      <c r="C312" s="385"/>
      <c r="D312" s="411"/>
      <c r="E312" s="385"/>
      <c r="F312" s="385"/>
      <c r="G312" s="411"/>
    </row>
  </sheetData>
  <sheetProtection password="EA98" sheet="1" formatColumns="0" selectLockedCells="1"/>
  <mergeCells count="69">
    <mergeCell ref="B106:F106"/>
    <mergeCell ref="B109:F109"/>
    <mergeCell ref="B112:F112"/>
    <mergeCell ref="B115:F115"/>
    <mergeCell ref="B118:F118"/>
    <mergeCell ref="B121:F121"/>
    <mergeCell ref="B88:F88"/>
    <mergeCell ref="B91:F91"/>
    <mergeCell ref="B94:F94"/>
    <mergeCell ref="B97:F97"/>
    <mergeCell ref="B100:F100"/>
    <mergeCell ref="B103:F103"/>
    <mergeCell ref="B53:F53"/>
    <mergeCell ref="B56:F56"/>
    <mergeCell ref="B59:F59"/>
    <mergeCell ref="B62:F62"/>
    <mergeCell ref="B82:F82"/>
    <mergeCell ref="B85:F85"/>
    <mergeCell ref="B44:E44"/>
    <mergeCell ref="C2:F2"/>
    <mergeCell ref="E8:G8"/>
    <mergeCell ref="E9:G9"/>
    <mergeCell ref="E10:G10"/>
    <mergeCell ref="C3:F3"/>
    <mergeCell ref="B6:G6"/>
    <mergeCell ref="E11:G11"/>
    <mergeCell ref="E12:G12"/>
    <mergeCell ref="F23:G23"/>
    <mergeCell ref="B168:G168"/>
    <mergeCell ref="B48:E48"/>
    <mergeCell ref="B41:G41"/>
    <mergeCell ref="B46:E46"/>
    <mergeCell ref="B50:E50"/>
    <mergeCell ref="B165:G165"/>
    <mergeCell ref="B163:G163"/>
    <mergeCell ref="B157:G157"/>
    <mergeCell ref="B158:G162"/>
    <mergeCell ref="B124:F124"/>
    <mergeCell ref="D15:G15"/>
    <mergeCell ref="B19:C19"/>
    <mergeCell ref="B23:C23"/>
    <mergeCell ref="B16:G16"/>
    <mergeCell ref="D26:E26"/>
    <mergeCell ref="F25:G25"/>
    <mergeCell ref="D25:E25"/>
    <mergeCell ref="B26:C26"/>
    <mergeCell ref="B30:G30"/>
    <mergeCell ref="F19:G19"/>
    <mergeCell ref="B22:C22"/>
    <mergeCell ref="D22:E22"/>
    <mergeCell ref="D19:E19"/>
    <mergeCell ref="F22:G22"/>
    <mergeCell ref="B36:G36"/>
    <mergeCell ref="B39:C39"/>
    <mergeCell ref="B33:C33"/>
    <mergeCell ref="B34:C34"/>
    <mergeCell ref="D23:E23"/>
    <mergeCell ref="F24:G24"/>
    <mergeCell ref="B25:C25"/>
    <mergeCell ref="B24:C24"/>
    <mergeCell ref="D24:E24"/>
    <mergeCell ref="F26:G26"/>
    <mergeCell ref="B145:F145"/>
    <mergeCell ref="B127:F127"/>
    <mergeCell ref="B130:F130"/>
    <mergeCell ref="B133:F133"/>
    <mergeCell ref="B136:F136"/>
    <mergeCell ref="B139:F139"/>
    <mergeCell ref="B142:F142"/>
  </mergeCells>
  <dataValidations count="1">
    <dataValidation type="whole" allowBlank="1" showInputMessage="1" showErrorMessage="1" errorTitle="ATTENZIONE" error="INSERIRE SOLO VALORI NUMERICI INTERI" sqref="G91 G88 G121 G118 G94 G100 G59 G62 G97 G82 G85 G53 G56 G103 G106 G109 G112 G115 G124 G136 G133 G127 G130 G139 G142 G145:G155">
      <formula1>0</formula1>
      <formula2>999999999999</formula2>
    </dataValidation>
  </dataValidations>
  <printOptions horizontalCentered="1"/>
  <pageMargins left="0.4" right="0.39" top="0.38" bottom="0.23" header="0.15748031496062992" footer="0.15748031496062992"/>
  <pageSetup fitToHeight="2" fitToWidth="1" horizontalDpi="600" verticalDpi="6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4"/>
  <dimension ref="A1:Y33"/>
  <sheetViews>
    <sheetView showGridLines="0" zoomScalePageLayoutView="0" workbookViewId="0" topLeftCell="A1">
      <pane xSplit="2" ySplit="5" topLeftCell="G6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H15" sqref="H15"/>
    </sheetView>
  </sheetViews>
  <sheetFormatPr defaultColWidth="10.66015625" defaultRowHeight="10.5"/>
  <cols>
    <col min="1" max="1" width="57.83203125" style="59" customWidth="1"/>
    <col min="2" max="2" width="10.5" style="61" customWidth="1"/>
    <col min="3" max="22" width="8.33203125" style="59" customWidth="1"/>
    <col min="23" max="23" width="10" style="59" customWidth="1"/>
    <col min="24" max="24" width="10.66015625" style="59" customWidth="1"/>
    <col min="25" max="25" width="0" style="59" hidden="1" customWidth="1"/>
    <col min="26" max="16384" width="10.66015625" style="59" customWidth="1"/>
  </cols>
  <sheetData>
    <row r="1" spans="1:24" s="5" customFormat="1" ht="43.5" customHeight="1">
      <c r="A1" s="1155" t="str">
        <f>'t1'!A1</f>
        <v>COMPARTO AFAM - anno 2016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  <c r="P1" s="1155"/>
      <c r="Q1" s="1155"/>
      <c r="R1" s="1155"/>
      <c r="S1" s="1155"/>
      <c r="T1" s="1155"/>
      <c r="U1" s="1155"/>
      <c r="V1" s="1155"/>
      <c r="X1" s="320"/>
    </row>
    <row r="2" spans="1:24" ht="30" customHeight="1" thickBot="1">
      <c r="A2" s="60"/>
      <c r="P2" s="1156"/>
      <c r="Q2" s="1156"/>
      <c r="R2" s="1156"/>
      <c r="S2" s="1156"/>
      <c r="T2" s="1156"/>
      <c r="U2" s="1156"/>
      <c r="V2" s="1156"/>
      <c r="W2" s="1156"/>
      <c r="X2" s="1156"/>
    </row>
    <row r="3" spans="1:24" ht="16.5" customHeight="1" thickBot="1">
      <c r="A3" s="62"/>
      <c r="B3" s="63"/>
      <c r="C3" s="64" t="s">
        <v>261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6"/>
      <c r="U3" s="65"/>
      <c r="V3" s="66"/>
      <c r="W3" s="65"/>
      <c r="X3" s="66"/>
    </row>
    <row r="4" spans="1:24" ht="16.5" customHeight="1" thickTop="1">
      <c r="A4" s="284" t="s">
        <v>159</v>
      </c>
      <c r="B4" s="67" t="s">
        <v>78</v>
      </c>
      <c r="C4" s="1186" t="s">
        <v>99</v>
      </c>
      <c r="D4" s="1187"/>
      <c r="E4" s="1186" t="s">
        <v>100</v>
      </c>
      <c r="F4" s="1187"/>
      <c r="G4" s="1186" t="s">
        <v>101</v>
      </c>
      <c r="H4" s="1187"/>
      <c r="I4" s="1186" t="s">
        <v>102</v>
      </c>
      <c r="J4" s="1187"/>
      <c r="K4" s="1186" t="s">
        <v>103</v>
      </c>
      <c r="L4" s="1187"/>
      <c r="M4" s="1186" t="s">
        <v>104</v>
      </c>
      <c r="N4" s="1187"/>
      <c r="O4" s="1186" t="s">
        <v>105</v>
      </c>
      <c r="P4" s="1187"/>
      <c r="Q4" s="1186" t="s">
        <v>106</v>
      </c>
      <c r="R4" s="1187"/>
      <c r="S4" s="1186" t="s">
        <v>414</v>
      </c>
      <c r="T4" s="1187"/>
      <c r="U4" s="1186" t="s">
        <v>415</v>
      </c>
      <c r="V4" s="1187"/>
      <c r="W4" s="68" t="s">
        <v>82</v>
      </c>
      <c r="X4" s="139"/>
    </row>
    <row r="5" spans="1:24" ht="12" thickBot="1">
      <c r="A5" s="919" t="s">
        <v>687</v>
      </c>
      <c r="B5" s="69"/>
      <c r="C5" s="70" t="s">
        <v>97</v>
      </c>
      <c r="D5" s="71" t="s">
        <v>98</v>
      </c>
      <c r="E5" s="70" t="s">
        <v>97</v>
      </c>
      <c r="F5" s="71" t="s">
        <v>98</v>
      </c>
      <c r="G5" s="70" t="s">
        <v>97</v>
      </c>
      <c r="H5" s="71" t="s">
        <v>98</v>
      </c>
      <c r="I5" s="70" t="s">
        <v>97</v>
      </c>
      <c r="J5" s="71" t="s">
        <v>98</v>
      </c>
      <c r="K5" s="70" t="s">
        <v>97</v>
      </c>
      <c r="L5" s="71" t="s">
        <v>98</v>
      </c>
      <c r="M5" s="70" t="s">
        <v>97</v>
      </c>
      <c r="N5" s="71" t="s">
        <v>98</v>
      </c>
      <c r="O5" s="70" t="s">
        <v>97</v>
      </c>
      <c r="P5" s="71" t="s">
        <v>98</v>
      </c>
      <c r="Q5" s="70" t="s">
        <v>97</v>
      </c>
      <c r="R5" s="71" t="s">
        <v>98</v>
      </c>
      <c r="S5" s="70" t="s">
        <v>97</v>
      </c>
      <c r="T5" s="72" t="s">
        <v>98</v>
      </c>
      <c r="U5" s="70" t="s">
        <v>97</v>
      </c>
      <c r="V5" s="72" t="s">
        <v>98</v>
      </c>
      <c r="W5" s="70" t="s">
        <v>97</v>
      </c>
      <c r="X5" s="72" t="s">
        <v>98</v>
      </c>
    </row>
    <row r="6" spans="1:25" ht="12.75" customHeight="1" thickTop="1">
      <c r="A6" s="25" t="str">
        <f>'t1'!A6</f>
        <v>DIRIGENTE SCOLASTICO</v>
      </c>
      <c r="B6" s="236" t="str">
        <f>'t1'!B6</f>
        <v>0D0158</v>
      </c>
      <c r="C6" s="240"/>
      <c r="D6" s="241"/>
      <c r="E6" s="240"/>
      <c r="F6" s="241"/>
      <c r="G6" s="240"/>
      <c r="H6" s="241"/>
      <c r="I6" s="240"/>
      <c r="J6" s="241"/>
      <c r="K6" s="240"/>
      <c r="L6" s="241"/>
      <c r="M6" s="242"/>
      <c r="N6" s="243"/>
      <c r="O6" s="240"/>
      <c r="P6" s="241"/>
      <c r="Q6" s="240"/>
      <c r="R6" s="241"/>
      <c r="S6" s="244"/>
      <c r="T6" s="245"/>
      <c r="U6" s="244"/>
      <c r="V6" s="245"/>
      <c r="W6" s="467">
        <f>SUM(C6,E6,G6,I6,K6,M6,O6,Q6,S6,U6)</f>
        <v>0</v>
      </c>
      <c r="X6" s="468">
        <f>SUM(D6,F6,H6,J6,L6,N6,P6,R6,T6,V6)</f>
        <v>0</v>
      </c>
      <c r="Y6" s="59">
        <f>'t1'!N6</f>
        <v>0</v>
      </c>
    </row>
    <row r="7" spans="1:25" ht="12.75" customHeight="1">
      <c r="A7" s="155" t="str">
        <f>'t1'!A7</f>
        <v>PROFESSORI DI PRIMA FASCIA</v>
      </c>
      <c r="B7" s="229" t="str">
        <f>'t1'!B7</f>
        <v>018P01</v>
      </c>
      <c r="C7" s="240"/>
      <c r="D7" s="241"/>
      <c r="E7" s="240">
        <v>0</v>
      </c>
      <c r="F7" s="241">
        <v>1</v>
      </c>
      <c r="G7" s="240"/>
      <c r="H7" s="241"/>
      <c r="I7" s="240">
        <v>2</v>
      </c>
      <c r="J7" s="241">
        <v>0</v>
      </c>
      <c r="K7" s="240"/>
      <c r="L7" s="241"/>
      <c r="M7" s="242">
        <v>2</v>
      </c>
      <c r="N7" s="243">
        <v>1</v>
      </c>
      <c r="O7" s="240">
        <v>0</v>
      </c>
      <c r="P7" s="241">
        <v>2</v>
      </c>
      <c r="Q7" s="240">
        <v>1</v>
      </c>
      <c r="R7" s="241">
        <v>0</v>
      </c>
      <c r="S7" s="244"/>
      <c r="T7" s="246"/>
      <c r="U7" s="244"/>
      <c r="V7" s="246"/>
      <c r="W7" s="467">
        <f aca="true" t="shared" si="0" ref="W7:W30">SUM(C7,E7,G7,I7,K7,M7,O7,Q7,S7,U7)</f>
        <v>5</v>
      </c>
      <c r="X7" s="469">
        <f aca="true" t="shared" si="1" ref="X7:X30">SUM(D7,F7,H7,J7,L7,N7,P7,R7,T7,V7)</f>
        <v>4</v>
      </c>
      <c r="Y7" s="59">
        <f>'t1'!N7</f>
        <v>9</v>
      </c>
    </row>
    <row r="8" spans="1:25" ht="12.75" customHeight="1">
      <c r="A8" s="155" t="str">
        <f>'t1'!A8</f>
        <v>PROFESSORI DI SECONDA FASCIA</v>
      </c>
      <c r="B8" s="229" t="str">
        <f>'t1'!B8</f>
        <v>016P02</v>
      </c>
      <c r="C8" s="240"/>
      <c r="D8" s="241"/>
      <c r="E8" s="240"/>
      <c r="F8" s="241"/>
      <c r="G8" s="240"/>
      <c r="H8" s="241"/>
      <c r="I8" s="240">
        <v>0</v>
      </c>
      <c r="J8" s="241">
        <v>1</v>
      </c>
      <c r="K8" s="240">
        <v>1</v>
      </c>
      <c r="L8" s="241">
        <v>2</v>
      </c>
      <c r="M8" s="242"/>
      <c r="N8" s="243"/>
      <c r="O8" s="240">
        <v>1</v>
      </c>
      <c r="P8" s="241">
        <v>1</v>
      </c>
      <c r="Q8" s="240">
        <v>0</v>
      </c>
      <c r="R8" s="241">
        <v>1</v>
      </c>
      <c r="S8" s="244"/>
      <c r="T8" s="246"/>
      <c r="U8" s="244"/>
      <c r="V8" s="246"/>
      <c r="W8" s="467">
        <f t="shared" si="0"/>
        <v>2</v>
      </c>
      <c r="X8" s="469">
        <f t="shared" si="1"/>
        <v>5</v>
      </c>
      <c r="Y8" s="59">
        <f>'t1'!N8</f>
        <v>7</v>
      </c>
    </row>
    <row r="9" spans="1:25" ht="12.75" customHeight="1">
      <c r="A9" s="155" t="str">
        <f>'t1'!A9</f>
        <v>DIRETTORE AMMINISTRATIVO EP2</v>
      </c>
      <c r="B9" s="229" t="str">
        <f>'t1'!B9</f>
        <v>013504</v>
      </c>
      <c r="C9" s="240"/>
      <c r="D9" s="241"/>
      <c r="E9" s="240"/>
      <c r="F9" s="241"/>
      <c r="G9" s="240"/>
      <c r="H9" s="241"/>
      <c r="I9" s="240"/>
      <c r="J9" s="241"/>
      <c r="K9" s="240"/>
      <c r="L9" s="241">
        <v>1</v>
      </c>
      <c r="M9" s="242"/>
      <c r="N9" s="243"/>
      <c r="O9" s="240"/>
      <c r="P9" s="241"/>
      <c r="Q9" s="240"/>
      <c r="R9" s="241"/>
      <c r="S9" s="244"/>
      <c r="T9" s="246"/>
      <c r="U9" s="244"/>
      <c r="V9" s="246"/>
      <c r="W9" s="467">
        <f t="shared" si="0"/>
        <v>0</v>
      </c>
      <c r="X9" s="469">
        <f t="shared" si="1"/>
        <v>1</v>
      </c>
      <c r="Y9" s="59">
        <f>'t1'!N9</f>
        <v>1</v>
      </c>
    </row>
    <row r="10" spans="1:25" ht="12.75" customHeight="1">
      <c r="A10" s="155" t="str">
        <f>'t1'!A10</f>
        <v>DIRETTORE DELL UFFICIO DI RAGIONERIA (EP1)</v>
      </c>
      <c r="B10" s="229" t="str">
        <f>'t1'!B10</f>
        <v>013159</v>
      </c>
      <c r="C10" s="240"/>
      <c r="D10" s="241"/>
      <c r="E10" s="240"/>
      <c r="F10" s="241"/>
      <c r="G10" s="240"/>
      <c r="H10" s="241"/>
      <c r="I10" s="240"/>
      <c r="J10" s="241"/>
      <c r="K10" s="240"/>
      <c r="L10" s="241"/>
      <c r="M10" s="242"/>
      <c r="N10" s="243">
        <v>1</v>
      </c>
      <c r="O10" s="240"/>
      <c r="P10" s="241"/>
      <c r="Q10" s="240"/>
      <c r="R10" s="241"/>
      <c r="S10" s="244"/>
      <c r="T10" s="246"/>
      <c r="U10" s="244"/>
      <c r="V10" s="246"/>
      <c r="W10" s="467">
        <f t="shared" si="0"/>
        <v>0</v>
      </c>
      <c r="X10" s="469">
        <f t="shared" si="1"/>
        <v>1</v>
      </c>
      <c r="Y10" s="59">
        <f>'t1'!N10</f>
        <v>1</v>
      </c>
    </row>
    <row r="11" spans="1:25" ht="12.75" customHeight="1">
      <c r="A11" s="155" t="str">
        <f>'t1'!A11</f>
        <v>COORDINATORE DI BIBLIOTECA TECNICO E AMMINISTRATIVO(D)</v>
      </c>
      <c r="B11" s="229" t="str">
        <f>'t1'!B11</f>
        <v>013DTE</v>
      </c>
      <c r="C11" s="240"/>
      <c r="D11" s="241"/>
      <c r="E11" s="240"/>
      <c r="F11" s="241"/>
      <c r="G11" s="240"/>
      <c r="H11" s="241"/>
      <c r="I11" s="240"/>
      <c r="J11" s="241"/>
      <c r="K11" s="240"/>
      <c r="L11" s="241"/>
      <c r="M11" s="242"/>
      <c r="N11" s="243"/>
      <c r="O11" s="240"/>
      <c r="P11" s="241"/>
      <c r="Q11" s="240"/>
      <c r="R11" s="241"/>
      <c r="S11" s="244"/>
      <c r="T11" s="246"/>
      <c r="U11" s="244"/>
      <c r="V11" s="246"/>
      <c r="W11" s="467">
        <f t="shared" si="0"/>
        <v>0</v>
      </c>
      <c r="X11" s="469">
        <f t="shared" si="1"/>
        <v>0</v>
      </c>
      <c r="Y11" s="59">
        <f>'t1'!N11</f>
        <v>0</v>
      </c>
    </row>
    <row r="12" spans="1:25" ht="12.75" customHeight="1">
      <c r="A12" s="155" t="str">
        <f>'t1'!A12</f>
        <v>COLLABORATORE TEC. AMMIN. DI BIBLIOT. E DI LAB. (C)</v>
      </c>
      <c r="B12" s="229" t="str">
        <f>'t1'!B12</f>
        <v>013CTE</v>
      </c>
      <c r="C12" s="240"/>
      <c r="D12" s="241"/>
      <c r="E12" s="240"/>
      <c r="F12" s="241"/>
      <c r="G12" s="240"/>
      <c r="H12" s="241"/>
      <c r="I12" s="240"/>
      <c r="J12" s="241"/>
      <c r="K12" s="240"/>
      <c r="L12" s="241"/>
      <c r="M12" s="242"/>
      <c r="N12" s="243"/>
      <c r="O12" s="240"/>
      <c r="P12" s="241"/>
      <c r="Q12" s="240"/>
      <c r="R12" s="241"/>
      <c r="S12" s="244"/>
      <c r="T12" s="246"/>
      <c r="U12" s="244"/>
      <c r="V12" s="246"/>
      <c r="W12" s="467">
        <f t="shared" si="0"/>
        <v>0</v>
      </c>
      <c r="X12" s="469">
        <f t="shared" si="1"/>
        <v>0</v>
      </c>
      <c r="Y12" s="59">
        <f>'t1'!N12</f>
        <v>0</v>
      </c>
    </row>
    <row r="13" spans="1:25" ht="12.75" customHeight="1">
      <c r="A13" s="155" t="str">
        <f>'t1'!A13</f>
        <v>ASSISTENTE AMMINISTRATIVO (B)</v>
      </c>
      <c r="B13" s="229" t="str">
        <f>'t1'!B13</f>
        <v>012117</v>
      </c>
      <c r="C13" s="240"/>
      <c r="D13" s="241"/>
      <c r="E13" s="240">
        <v>1</v>
      </c>
      <c r="F13" s="241"/>
      <c r="G13" s="240"/>
      <c r="H13" s="241">
        <v>1</v>
      </c>
      <c r="I13" s="240"/>
      <c r="J13" s="241">
        <v>1</v>
      </c>
      <c r="K13" s="240"/>
      <c r="L13" s="241"/>
      <c r="M13" s="242"/>
      <c r="N13" s="243"/>
      <c r="O13" s="240"/>
      <c r="P13" s="241"/>
      <c r="Q13" s="240"/>
      <c r="R13" s="241"/>
      <c r="S13" s="244"/>
      <c r="T13" s="246">
        <v>1</v>
      </c>
      <c r="U13" s="244"/>
      <c r="V13" s="246"/>
      <c r="W13" s="467">
        <f t="shared" si="0"/>
        <v>1</v>
      </c>
      <c r="X13" s="469">
        <f t="shared" si="1"/>
        <v>3</v>
      </c>
      <c r="Y13" s="59">
        <f>'t1'!N13</f>
        <v>4</v>
      </c>
    </row>
    <row r="14" spans="1:25" ht="12.75" customHeight="1">
      <c r="A14" s="155" t="str">
        <f>'t1'!A14</f>
        <v>COADIUTORE (A)</v>
      </c>
      <c r="B14" s="229" t="str">
        <f>'t1'!B14</f>
        <v>011121</v>
      </c>
      <c r="C14" s="240"/>
      <c r="D14" s="241"/>
      <c r="E14" s="240"/>
      <c r="F14" s="241">
        <v>1</v>
      </c>
      <c r="G14" s="240">
        <v>1</v>
      </c>
      <c r="H14" s="241">
        <v>2</v>
      </c>
      <c r="I14" s="240"/>
      <c r="J14" s="241"/>
      <c r="K14" s="240"/>
      <c r="L14" s="241"/>
      <c r="M14" s="242">
        <v>2</v>
      </c>
      <c r="N14" s="243"/>
      <c r="O14" s="240"/>
      <c r="P14" s="241"/>
      <c r="Q14" s="240"/>
      <c r="R14" s="241"/>
      <c r="S14" s="244"/>
      <c r="T14" s="246"/>
      <c r="U14" s="244"/>
      <c r="V14" s="246"/>
      <c r="W14" s="467">
        <f t="shared" si="0"/>
        <v>3</v>
      </c>
      <c r="X14" s="469">
        <f t="shared" si="1"/>
        <v>3</v>
      </c>
      <c r="Y14" s="59">
        <f>'t1'!N14</f>
        <v>6</v>
      </c>
    </row>
    <row r="15" spans="1:25" ht="12.75" customHeight="1">
      <c r="A15" s="155" t="str">
        <f>'t1'!A15</f>
        <v>PROFESSORI DI PRIMA FASCIA TEMPO DET.ANNUALE</v>
      </c>
      <c r="B15" s="229" t="str">
        <f>'t1'!B15</f>
        <v>018PD1</v>
      </c>
      <c r="C15" s="240">
        <v>17</v>
      </c>
      <c r="D15" s="241">
        <v>5</v>
      </c>
      <c r="E15" s="240"/>
      <c r="F15" s="241"/>
      <c r="G15" s="240"/>
      <c r="H15" s="241"/>
      <c r="I15" s="240"/>
      <c r="J15" s="241"/>
      <c r="K15" s="240"/>
      <c r="L15" s="241"/>
      <c r="M15" s="242"/>
      <c r="N15" s="243"/>
      <c r="O15" s="240"/>
      <c r="P15" s="241"/>
      <c r="Q15" s="240"/>
      <c r="R15" s="241"/>
      <c r="S15" s="244"/>
      <c r="T15" s="246"/>
      <c r="U15" s="244"/>
      <c r="V15" s="246"/>
      <c r="W15" s="467">
        <f t="shared" si="0"/>
        <v>17</v>
      </c>
      <c r="X15" s="469">
        <f t="shared" si="1"/>
        <v>5</v>
      </c>
      <c r="Y15" s="59">
        <f>'t1'!N15</f>
        <v>22</v>
      </c>
    </row>
    <row r="16" spans="1:25" ht="12.75" customHeight="1">
      <c r="A16" s="155" t="str">
        <f>'t1'!A16</f>
        <v>PROFESSORI DI SECONDA FASCIA TEMPO DET.ANNUALE</v>
      </c>
      <c r="B16" s="229" t="str">
        <f>'t1'!B16</f>
        <v>016PD2</v>
      </c>
      <c r="C16" s="240">
        <v>4</v>
      </c>
      <c r="D16" s="241">
        <v>2</v>
      </c>
      <c r="E16" s="240"/>
      <c r="F16" s="241"/>
      <c r="G16" s="240"/>
      <c r="H16" s="241"/>
      <c r="I16" s="240"/>
      <c r="J16" s="241"/>
      <c r="K16" s="240"/>
      <c r="L16" s="241"/>
      <c r="M16" s="242"/>
      <c r="N16" s="243"/>
      <c r="O16" s="240"/>
      <c r="P16" s="241"/>
      <c r="Q16" s="240"/>
      <c r="R16" s="241"/>
      <c r="S16" s="244"/>
      <c r="T16" s="246"/>
      <c r="U16" s="244"/>
      <c r="V16" s="246"/>
      <c r="W16" s="467">
        <f t="shared" si="0"/>
        <v>4</v>
      </c>
      <c r="X16" s="469">
        <f t="shared" si="1"/>
        <v>2</v>
      </c>
      <c r="Y16" s="59">
        <f>'t1'!N16</f>
        <v>6</v>
      </c>
    </row>
    <row r="17" spans="1:25" ht="12.75" customHeight="1">
      <c r="A17" s="155" t="str">
        <f>'t1'!A17</f>
        <v>PROFESSORI DI PRIMA FASCIA T. DET. TERMINE ATTIV DIDATT</v>
      </c>
      <c r="B17" s="229" t="str">
        <f>'t1'!B17</f>
        <v>018DD1</v>
      </c>
      <c r="C17" s="240"/>
      <c r="D17" s="241"/>
      <c r="E17" s="240"/>
      <c r="F17" s="241"/>
      <c r="G17" s="240"/>
      <c r="H17" s="241"/>
      <c r="I17" s="240"/>
      <c r="J17" s="241"/>
      <c r="K17" s="240"/>
      <c r="L17" s="241"/>
      <c r="M17" s="242"/>
      <c r="N17" s="243"/>
      <c r="O17" s="240"/>
      <c r="P17" s="241"/>
      <c r="Q17" s="240"/>
      <c r="R17" s="241"/>
      <c r="S17" s="244"/>
      <c r="T17" s="246"/>
      <c r="U17" s="244"/>
      <c r="V17" s="246"/>
      <c r="W17" s="467">
        <f t="shared" si="0"/>
        <v>0</v>
      </c>
      <c r="X17" s="469">
        <f t="shared" si="1"/>
        <v>0</v>
      </c>
      <c r="Y17" s="59">
        <f>'t1'!N17</f>
        <v>0</v>
      </c>
    </row>
    <row r="18" spans="1:25" ht="12.75" customHeight="1">
      <c r="A18" s="155" t="str">
        <f>'t1'!A18</f>
        <v>PROFESSORI DI SECONDA FASCIA T. DET. TERMINE ATTIV DIDATT</v>
      </c>
      <c r="B18" s="229" t="str">
        <f>'t1'!B18</f>
        <v>016DD2</v>
      </c>
      <c r="C18" s="240"/>
      <c r="D18" s="241"/>
      <c r="E18" s="240"/>
      <c r="F18" s="241"/>
      <c r="G18" s="240"/>
      <c r="H18" s="241"/>
      <c r="I18" s="240"/>
      <c r="J18" s="241"/>
      <c r="K18" s="240"/>
      <c r="L18" s="241"/>
      <c r="M18" s="242"/>
      <c r="N18" s="243"/>
      <c r="O18" s="240"/>
      <c r="P18" s="241"/>
      <c r="Q18" s="240"/>
      <c r="R18" s="241"/>
      <c r="S18" s="244"/>
      <c r="T18" s="246"/>
      <c r="U18" s="244"/>
      <c r="V18" s="246"/>
      <c r="W18" s="467">
        <f t="shared" si="0"/>
        <v>0</v>
      </c>
      <c r="X18" s="469">
        <f t="shared" si="1"/>
        <v>0</v>
      </c>
      <c r="Y18" s="59">
        <f>'t1'!N18</f>
        <v>0</v>
      </c>
    </row>
    <row r="19" spans="1:25" ht="12.75" customHeight="1">
      <c r="A19" s="155" t="str">
        <f>'t1'!A19</f>
        <v>DIRETTORE AMMINISTRATIVO TEMPO DET.ANNUALE (EP2)</v>
      </c>
      <c r="B19" s="229" t="str">
        <f>'t1'!B19</f>
        <v>013EP2</v>
      </c>
      <c r="C19" s="240"/>
      <c r="D19" s="241"/>
      <c r="E19" s="240"/>
      <c r="F19" s="241"/>
      <c r="G19" s="240"/>
      <c r="H19" s="241"/>
      <c r="I19" s="240"/>
      <c r="J19" s="241"/>
      <c r="K19" s="240"/>
      <c r="L19" s="241"/>
      <c r="M19" s="242"/>
      <c r="N19" s="243"/>
      <c r="O19" s="240"/>
      <c r="P19" s="241"/>
      <c r="Q19" s="240"/>
      <c r="R19" s="241"/>
      <c r="S19" s="244"/>
      <c r="T19" s="246"/>
      <c r="U19" s="244"/>
      <c r="V19" s="246"/>
      <c r="W19" s="467">
        <f t="shared" si="0"/>
        <v>0</v>
      </c>
      <c r="X19" s="469">
        <f t="shared" si="1"/>
        <v>0</v>
      </c>
      <c r="Y19" s="59">
        <f>'t1'!N19</f>
        <v>0</v>
      </c>
    </row>
    <row r="20" spans="1:25" ht="12.75" customHeight="1">
      <c r="A20" s="155" t="str">
        <f>'t1'!A20</f>
        <v>DIRETTORE DELL UFFICIO DI RAGIONERIA TEMPO DET.ANNUALE (EP1)</v>
      </c>
      <c r="B20" s="229" t="str">
        <f>'t1'!B20</f>
        <v>013160</v>
      </c>
      <c r="C20" s="240"/>
      <c r="D20" s="241"/>
      <c r="E20" s="240"/>
      <c r="F20" s="241"/>
      <c r="G20" s="240"/>
      <c r="H20" s="241"/>
      <c r="I20" s="240"/>
      <c r="J20" s="241"/>
      <c r="K20" s="240"/>
      <c r="L20" s="241"/>
      <c r="M20" s="242"/>
      <c r="N20" s="243"/>
      <c r="O20" s="240"/>
      <c r="P20" s="241"/>
      <c r="Q20" s="240"/>
      <c r="R20" s="241"/>
      <c r="S20" s="244"/>
      <c r="T20" s="246"/>
      <c r="U20" s="244"/>
      <c r="V20" s="246"/>
      <c r="W20" s="467">
        <f t="shared" si="0"/>
        <v>0</v>
      </c>
      <c r="X20" s="469">
        <f t="shared" si="1"/>
        <v>0</v>
      </c>
      <c r="Y20" s="59">
        <f>'t1'!N20</f>
        <v>0</v>
      </c>
    </row>
    <row r="21" spans="1:25" ht="12.75" customHeight="1">
      <c r="A21" s="155" t="str">
        <f>'t1'!A21</f>
        <v>DIRETTORE AMMINISTRATIVO T. DET. TERMINE ATTIV DIDATT(EP2)</v>
      </c>
      <c r="B21" s="229" t="str">
        <f>'t1'!B21</f>
        <v>013E2N</v>
      </c>
      <c r="C21" s="240"/>
      <c r="D21" s="241"/>
      <c r="E21" s="240"/>
      <c r="F21" s="241"/>
      <c r="G21" s="240"/>
      <c r="H21" s="241"/>
      <c r="I21" s="240"/>
      <c r="J21" s="241"/>
      <c r="K21" s="240"/>
      <c r="L21" s="241"/>
      <c r="M21" s="242"/>
      <c r="N21" s="243"/>
      <c r="O21" s="240"/>
      <c r="P21" s="241"/>
      <c r="Q21" s="240"/>
      <c r="R21" s="241"/>
      <c r="S21" s="244"/>
      <c r="T21" s="246"/>
      <c r="U21" s="244"/>
      <c r="V21" s="246"/>
      <c r="W21" s="467">
        <f t="shared" si="0"/>
        <v>0</v>
      </c>
      <c r="X21" s="469">
        <f t="shared" si="1"/>
        <v>0</v>
      </c>
      <c r="Y21" s="59">
        <f>'t1'!N21</f>
        <v>0</v>
      </c>
    </row>
    <row r="22" spans="1:25" ht="12.75" customHeight="1">
      <c r="A22" s="155" t="str">
        <f>'t1'!A22</f>
        <v>DIRETTORE UFF. RAGIONERIA T. DET. TERM. ATTIV DIDATT(EP1)</v>
      </c>
      <c r="B22" s="229" t="str">
        <f>'t1'!B22</f>
        <v>013E1N</v>
      </c>
      <c r="C22" s="240"/>
      <c r="D22" s="241"/>
      <c r="E22" s="240"/>
      <c r="F22" s="241"/>
      <c r="G22" s="240"/>
      <c r="H22" s="241"/>
      <c r="I22" s="240"/>
      <c r="J22" s="241"/>
      <c r="K22" s="240"/>
      <c r="L22" s="241"/>
      <c r="M22" s="242"/>
      <c r="N22" s="243"/>
      <c r="O22" s="240"/>
      <c r="P22" s="241"/>
      <c r="Q22" s="240"/>
      <c r="R22" s="241"/>
      <c r="S22" s="244"/>
      <c r="T22" s="246"/>
      <c r="U22" s="244"/>
      <c r="V22" s="246"/>
      <c r="W22" s="467">
        <f t="shared" si="0"/>
        <v>0</v>
      </c>
      <c r="X22" s="469">
        <f t="shared" si="1"/>
        <v>0</v>
      </c>
      <c r="Y22" s="59">
        <f>'t1'!N22</f>
        <v>0</v>
      </c>
    </row>
    <row r="23" spans="1:25" ht="12.75" customHeight="1">
      <c r="A23" s="155" t="str">
        <f>'t1'!A23</f>
        <v>COORD. DI BIBLIOT., COORD. TEC. E AMM. TEMPO DET.ANNUALE</v>
      </c>
      <c r="B23" s="229" t="str">
        <f>'t1'!B23</f>
        <v>013DDE</v>
      </c>
      <c r="C23" s="240"/>
      <c r="D23" s="241"/>
      <c r="E23" s="240"/>
      <c r="F23" s="241"/>
      <c r="G23" s="240"/>
      <c r="H23" s="241"/>
      <c r="I23" s="240"/>
      <c r="J23" s="241"/>
      <c r="K23" s="240"/>
      <c r="L23" s="241"/>
      <c r="M23" s="242"/>
      <c r="N23" s="243"/>
      <c r="O23" s="240"/>
      <c r="P23" s="241"/>
      <c r="Q23" s="240"/>
      <c r="R23" s="241"/>
      <c r="S23" s="244"/>
      <c r="T23" s="246"/>
      <c r="U23" s="244"/>
      <c r="V23" s="246"/>
      <c r="W23" s="467">
        <f t="shared" si="0"/>
        <v>0</v>
      </c>
      <c r="X23" s="469">
        <f t="shared" si="1"/>
        <v>0</v>
      </c>
      <c r="Y23" s="59">
        <f>'t1'!N23</f>
        <v>0</v>
      </c>
    </row>
    <row r="24" spans="1:25" ht="12.75" customHeight="1">
      <c r="A24" s="155" t="str">
        <f>'t1'!A24</f>
        <v>COLLAB. TEC. AMMIN. DI BIBLIOT. E DI LAB. TEMPO DET.ANNUALE</v>
      </c>
      <c r="B24" s="229" t="str">
        <f>'t1'!B24</f>
        <v>013CDE</v>
      </c>
      <c r="C24" s="240"/>
      <c r="D24" s="241"/>
      <c r="E24" s="240"/>
      <c r="F24" s="241"/>
      <c r="G24" s="240"/>
      <c r="H24" s="241"/>
      <c r="I24" s="240"/>
      <c r="J24" s="241"/>
      <c r="K24" s="240"/>
      <c r="L24" s="241"/>
      <c r="M24" s="242"/>
      <c r="N24" s="243"/>
      <c r="O24" s="240"/>
      <c r="P24" s="241"/>
      <c r="Q24" s="240"/>
      <c r="R24" s="241"/>
      <c r="S24" s="244"/>
      <c r="T24" s="246"/>
      <c r="U24" s="244"/>
      <c r="V24" s="246"/>
      <c r="W24" s="467">
        <f t="shared" si="0"/>
        <v>0</v>
      </c>
      <c r="X24" s="469">
        <f t="shared" si="1"/>
        <v>0</v>
      </c>
      <c r="Y24" s="59">
        <f>'t1'!N24</f>
        <v>0</v>
      </c>
    </row>
    <row r="25" spans="1:25" ht="12.75" customHeight="1">
      <c r="A25" s="155" t="str">
        <f>'t1'!A25</f>
        <v>ASSIST. AMMINISTRATIVO TEMPO DET.ANNUALE</v>
      </c>
      <c r="B25" s="229" t="str">
        <f>'t1'!B25</f>
        <v>012118</v>
      </c>
      <c r="C25" s="240">
        <v>1</v>
      </c>
      <c r="D25" s="241"/>
      <c r="E25" s="240"/>
      <c r="F25" s="241"/>
      <c r="G25" s="240"/>
      <c r="H25" s="241"/>
      <c r="I25" s="240"/>
      <c r="J25" s="241"/>
      <c r="K25" s="240"/>
      <c r="L25" s="241"/>
      <c r="M25" s="242"/>
      <c r="N25" s="243"/>
      <c r="O25" s="240"/>
      <c r="P25" s="241"/>
      <c r="Q25" s="240"/>
      <c r="R25" s="241"/>
      <c r="S25" s="244"/>
      <c r="T25" s="246"/>
      <c r="U25" s="244"/>
      <c r="V25" s="246"/>
      <c r="W25" s="467">
        <f t="shared" si="0"/>
        <v>1</v>
      </c>
      <c r="X25" s="469">
        <f t="shared" si="1"/>
        <v>0</v>
      </c>
      <c r="Y25" s="59">
        <f>'t1'!N25</f>
        <v>1</v>
      </c>
    </row>
    <row r="26" spans="1:25" ht="12.75" customHeight="1">
      <c r="A26" s="155" t="str">
        <f>'t1'!A26</f>
        <v>COADIUTORE TEMPO DET.ANNUALE</v>
      </c>
      <c r="B26" s="229" t="str">
        <f>'t1'!B26</f>
        <v>011124</v>
      </c>
      <c r="C26" s="240">
        <v>2</v>
      </c>
      <c r="D26" s="241">
        <v>2</v>
      </c>
      <c r="E26" s="240"/>
      <c r="F26" s="241"/>
      <c r="G26" s="240"/>
      <c r="H26" s="241"/>
      <c r="I26" s="240"/>
      <c r="J26" s="241"/>
      <c r="K26" s="240"/>
      <c r="L26" s="241"/>
      <c r="M26" s="242"/>
      <c r="N26" s="243"/>
      <c r="O26" s="240"/>
      <c r="P26" s="241"/>
      <c r="Q26" s="240"/>
      <c r="R26" s="241"/>
      <c r="S26" s="244"/>
      <c r="T26" s="246"/>
      <c r="U26" s="244"/>
      <c r="V26" s="246"/>
      <c r="W26" s="467">
        <f t="shared" si="0"/>
        <v>2</v>
      </c>
      <c r="X26" s="469">
        <f t="shared" si="1"/>
        <v>2</v>
      </c>
      <c r="Y26" s="59">
        <f>'t1'!N26</f>
        <v>4</v>
      </c>
    </row>
    <row r="27" spans="1:25" ht="12.75" customHeight="1">
      <c r="A27" s="155" t="str">
        <f>'t1'!A27</f>
        <v>COORD. BIBL., COORD. TEC. E AMM. T. DET. TERM. ATTIV DIDATT</v>
      </c>
      <c r="B27" s="229" t="str">
        <f>'t1'!B27</f>
        <v>013DDN</v>
      </c>
      <c r="C27" s="240"/>
      <c r="D27" s="241"/>
      <c r="E27" s="240"/>
      <c r="F27" s="241"/>
      <c r="G27" s="240"/>
      <c r="H27" s="241"/>
      <c r="I27" s="240"/>
      <c r="J27" s="241"/>
      <c r="K27" s="240"/>
      <c r="L27" s="241"/>
      <c r="M27" s="242"/>
      <c r="N27" s="243"/>
      <c r="O27" s="240"/>
      <c r="P27" s="241"/>
      <c r="Q27" s="240"/>
      <c r="R27" s="241"/>
      <c r="S27" s="244"/>
      <c r="T27" s="246"/>
      <c r="U27" s="244"/>
      <c r="V27" s="246"/>
      <c r="W27" s="467">
        <f t="shared" si="0"/>
        <v>0</v>
      </c>
      <c r="X27" s="469">
        <f t="shared" si="1"/>
        <v>0</v>
      </c>
      <c r="Y27" s="59">
        <f>'t1'!N27</f>
        <v>0</v>
      </c>
    </row>
    <row r="28" spans="1:25" ht="12.75" customHeight="1">
      <c r="A28" s="155" t="str">
        <f>'t1'!A28</f>
        <v>COLLAB. TEC. AMM. BIBL. E DI LAB. T. D. TERM. ATTIV DIDATT</v>
      </c>
      <c r="B28" s="229" t="str">
        <f>'t1'!B28</f>
        <v>013CDN</v>
      </c>
      <c r="C28" s="240"/>
      <c r="D28" s="241"/>
      <c r="E28" s="240"/>
      <c r="F28" s="241"/>
      <c r="G28" s="240"/>
      <c r="H28" s="241"/>
      <c r="I28" s="240"/>
      <c r="J28" s="241"/>
      <c r="K28" s="240"/>
      <c r="L28" s="241"/>
      <c r="M28" s="242"/>
      <c r="N28" s="243"/>
      <c r="O28" s="240"/>
      <c r="P28" s="241"/>
      <c r="Q28" s="240"/>
      <c r="R28" s="241"/>
      <c r="S28" s="244"/>
      <c r="T28" s="246"/>
      <c r="U28" s="244"/>
      <c r="V28" s="246"/>
      <c r="W28" s="467">
        <f t="shared" si="0"/>
        <v>0</v>
      </c>
      <c r="X28" s="469">
        <f t="shared" si="1"/>
        <v>0</v>
      </c>
      <c r="Y28" s="59">
        <f>'t1'!N28</f>
        <v>0</v>
      </c>
    </row>
    <row r="29" spans="1:25" ht="12.75" customHeight="1">
      <c r="A29" s="155" t="str">
        <f>'t1'!A29</f>
        <v>ASSISTENTE AMMINISTRATIVO TEM.DET. TERMINE ATTIV DIDATT</v>
      </c>
      <c r="B29" s="229" t="str">
        <f>'t1'!B29</f>
        <v>016509</v>
      </c>
      <c r="C29" s="240"/>
      <c r="D29" s="241"/>
      <c r="E29" s="240"/>
      <c r="F29" s="241"/>
      <c r="G29" s="240"/>
      <c r="H29" s="241"/>
      <c r="I29" s="240"/>
      <c r="J29" s="241"/>
      <c r="K29" s="240"/>
      <c r="L29" s="241"/>
      <c r="M29" s="242"/>
      <c r="N29" s="243"/>
      <c r="O29" s="240"/>
      <c r="P29" s="241"/>
      <c r="Q29" s="240"/>
      <c r="R29" s="241"/>
      <c r="S29" s="244"/>
      <c r="T29" s="246"/>
      <c r="U29" s="244"/>
      <c r="V29" s="246"/>
      <c r="W29" s="467">
        <f t="shared" si="0"/>
        <v>0</v>
      </c>
      <c r="X29" s="469">
        <f t="shared" si="1"/>
        <v>0</v>
      </c>
      <c r="Y29" s="59">
        <f>'t1'!N29</f>
        <v>0</v>
      </c>
    </row>
    <row r="30" spans="1:25" ht="12.75" customHeight="1" thickBot="1">
      <c r="A30" s="155" t="str">
        <f>'t1'!A30</f>
        <v>COADIUTORE TEMPO DET. TERMINE ATTIV DIDATT</v>
      </c>
      <c r="B30" s="229" t="str">
        <f>'t1'!B30</f>
        <v>011CNA</v>
      </c>
      <c r="C30" s="240"/>
      <c r="D30" s="241"/>
      <c r="E30" s="240"/>
      <c r="F30" s="241"/>
      <c r="G30" s="240"/>
      <c r="H30" s="241"/>
      <c r="I30" s="240"/>
      <c r="J30" s="241"/>
      <c r="K30" s="240"/>
      <c r="L30" s="241"/>
      <c r="M30" s="242"/>
      <c r="N30" s="243"/>
      <c r="O30" s="240"/>
      <c r="P30" s="241"/>
      <c r="Q30" s="240"/>
      <c r="R30" s="241"/>
      <c r="S30" s="244"/>
      <c r="T30" s="246"/>
      <c r="U30" s="244"/>
      <c r="V30" s="246"/>
      <c r="W30" s="467">
        <f t="shared" si="0"/>
        <v>0</v>
      </c>
      <c r="X30" s="469">
        <f t="shared" si="1"/>
        <v>0</v>
      </c>
      <c r="Y30" s="59">
        <f>'t1'!N30</f>
        <v>0</v>
      </c>
    </row>
    <row r="31" spans="1:24" ht="17.25" customHeight="1" thickBot="1" thickTop="1">
      <c r="A31" s="73" t="s">
        <v>82</v>
      </c>
      <c r="B31" s="74"/>
      <c r="C31" s="464">
        <f aca="true" t="shared" si="2" ref="C31:X31">SUM(C6:C30)</f>
        <v>24</v>
      </c>
      <c r="D31" s="465">
        <f t="shared" si="2"/>
        <v>9</v>
      </c>
      <c r="E31" s="464">
        <f t="shared" si="2"/>
        <v>1</v>
      </c>
      <c r="F31" s="465">
        <f t="shared" si="2"/>
        <v>2</v>
      </c>
      <c r="G31" s="464">
        <f t="shared" si="2"/>
        <v>1</v>
      </c>
      <c r="H31" s="465">
        <f t="shared" si="2"/>
        <v>3</v>
      </c>
      <c r="I31" s="464">
        <f t="shared" si="2"/>
        <v>2</v>
      </c>
      <c r="J31" s="465">
        <f t="shared" si="2"/>
        <v>2</v>
      </c>
      <c r="K31" s="464">
        <f t="shared" si="2"/>
        <v>1</v>
      </c>
      <c r="L31" s="465">
        <f t="shared" si="2"/>
        <v>3</v>
      </c>
      <c r="M31" s="464">
        <f t="shared" si="2"/>
        <v>4</v>
      </c>
      <c r="N31" s="465">
        <f t="shared" si="2"/>
        <v>2</v>
      </c>
      <c r="O31" s="464">
        <f t="shared" si="2"/>
        <v>1</v>
      </c>
      <c r="P31" s="465">
        <f t="shared" si="2"/>
        <v>3</v>
      </c>
      <c r="Q31" s="464">
        <f t="shared" si="2"/>
        <v>1</v>
      </c>
      <c r="R31" s="465">
        <f t="shared" si="2"/>
        <v>1</v>
      </c>
      <c r="S31" s="464">
        <f t="shared" si="2"/>
        <v>0</v>
      </c>
      <c r="T31" s="465">
        <f t="shared" si="2"/>
        <v>1</v>
      </c>
      <c r="U31" s="464">
        <f t="shared" si="2"/>
        <v>0</v>
      </c>
      <c r="V31" s="465">
        <f t="shared" si="2"/>
        <v>0</v>
      </c>
      <c r="W31" s="464">
        <f t="shared" si="2"/>
        <v>35</v>
      </c>
      <c r="X31" s="466">
        <f t="shared" si="2"/>
        <v>26</v>
      </c>
    </row>
    <row r="32" spans="1:25" s="44" customFormat="1" ht="19.5" customHeight="1">
      <c r="A32" s="26">
        <f>'t1'!$A$33</f>
      </c>
      <c r="B32" s="7"/>
      <c r="C32" s="5"/>
      <c r="D32" s="5"/>
      <c r="E32" s="5"/>
      <c r="F32" s="5"/>
      <c r="G32" s="5"/>
      <c r="H32" s="5"/>
      <c r="I32" s="5"/>
      <c r="J32" s="5"/>
      <c r="K32" s="79"/>
      <c r="Y32" s="59"/>
    </row>
    <row r="33" spans="1:2" s="5" customFormat="1" ht="11.25">
      <c r="A33" s="26"/>
      <c r="B33" s="7"/>
    </row>
  </sheetData>
  <sheetProtection password="EA98" sheet="1" formatColumns="0" selectLockedCells="1"/>
  <mergeCells count="12">
    <mergeCell ref="U4:V4"/>
    <mergeCell ref="K4:L4"/>
    <mergeCell ref="S4:T4"/>
    <mergeCell ref="M4:N4"/>
    <mergeCell ref="O4:P4"/>
    <mergeCell ref="Q4:R4"/>
    <mergeCell ref="A1:V1"/>
    <mergeCell ref="C4:D4"/>
    <mergeCell ref="E4:F4"/>
    <mergeCell ref="G4:H4"/>
    <mergeCell ref="I4:J4"/>
    <mergeCell ref="P2:X2"/>
  </mergeCells>
  <conditionalFormatting sqref="A6:X30">
    <cfRule type="expression" priority="2" dxfId="3" stopIfTrue="1">
      <formula>$Y6&gt;0</formula>
    </cfRule>
  </conditionalFormatting>
  <conditionalFormatting sqref="C6:V26">
    <cfRule type="expression" priority="1" dxfId="3" stopIfTrue="1">
      <formula>$Y6&gt;0</formula>
    </cfRule>
  </conditionalFormatting>
  <printOptions horizontalCentered="1" verticalCentered="1"/>
  <pageMargins left="0" right="0" top="0.1968503937007874" bottom="0.15748031496062992" header="0.1968503937007874" footer="0.1968503937007874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5"/>
  <dimension ref="A1:AC34"/>
  <sheetViews>
    <sheetView showGridLines="0" zoomScale="85" zoomScaleNormal="85" zoomScalePageLayoutView="0" workbookViewId="0" topLeftCell="A1">
      <pane xSplit="2" ySplit="5" topLeftCell="C15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T26" sqref="T26"/>
    </sheetView>
  </sheetViews>
  <sheetFormatPr defaultColWidth="10.66015625" defaultRowHeight="10.5"/>
  <cols>
    <col min="1" max="1" width="57.83203125" style="44" customWidth="1"/>
    <col min="2" max="2" width="8.16015625" style="46" bestFit="1" customWidth="1"/>
    <col min="3" max="4" width="6.66015625" style="44" customWidth="1"/>
    <col min="5" max="24" width="8" style="44" customWidth="1"/>
    <col min="25" max="26" width="6.5" style="44" customWidth="1"/>
    <col min="27" max="28" width="8.16015625" style="44" customWidth="1"/>
    <col min="29" max="29" width="0" style="44" hidden="1" customWidth="1"/>
    <col min="30" max="16384" width="10.66015625" style="44" customWidth="1"/>
  </cols>
  <sheetData>
    <row r="1" spans="1:28" s="5" customFormat="1" ht="43.5" customHeight="1">
      <c r="A1" s="1155" t="str">
        <f>'t1'!A1</f>
        <v>COMPARTO AFAM - anno 2016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  <c r="P1" s="1155"/>
      <c r="Q1" s="1155"/>
      <c r="R1" s="1155"/>
      <c r="S1" s="1155"/>
      <c r="T1" s="1155"/>
      <c r="U1" s="1155"/>
      <c r="V1" s="1155"/>
      <c r="W1" s="1155"/>
      <c r="X1" s="1155"/>
      <c r="Y1" s="1155"/>
      <c r="AB1" s="320"/>
    </row>
    <row r="2" spans="1:28" ht="30" customHeight="1" thickBot="1">
      <c r="A2" s="45"/>
      <c r="S2" s="1156"/>
      <c r="T2" s="1156"/>
      <c r="U2" s="1156"/>
      <c r="V2" s="1156"/>
      <c r="W2" s="1156"/>
      <c r="X2" s="1156"/>
      <c r="Y2" s="1156"/>
      <c r="Z2" s="1156"/>
      <c r="AA2" s="1156"/>
      <c r="AB2" s="1156"/>
    </row>
    <row r="3" spans="1:28" ht="16.5" customHeight="1" thickBot="1">
      <c r="A3" s="47"/>
      <c r="B3" s="48"/>
      <c r="C3" s="49" t="s">
        <v>262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1"/>
      <c r="Y3" s="50"/>
      <c r="Z3" s="51"/>
      <c r="AA3" s="50"/>
      <c r="AB3" s="51"/>
    </row>
    <row r="4" spans="1:28" ht="16.5" customHeight="1" thickTop="1">
      <c r="A4" s="283" t="s">
        <v>152</v>
      </c>
      <c r="B4" s="52" t="s">
        <v>78</v>
      </c>
      <c r="C4" s="1188" t="s">
        <v>186</v>
      </c>
      <c r="D4" s="1190"/>
      <c r="E4" s="167" t="s">
        <v>187</v>
      </c>
      <c r="F4" s="166"/>
      <c r="G4" s="1188" t="s">
        <v>89</v>
      </c>
      <c r="H4" s="1190"/>
      <c r="I4" s="1188" t="s">
        <v>90</v>
      </c>
      <c r="J4" s="1190"/>
      <c r="K4" s="1188" t="s">
        <v>91</v>
      </c>
      <c r="L4" s="1190"/>
      <c r="M4" s="1188" t="s">
        <v>92</v>
      </c>
      <c r="N4" s="1190"/>
      <c r="O4" s="1188" t="s">
        <v>93</v>
      </c>
      <c r="P4" s="1190"/>
      <c r="Q4" s="1188" t="s">
        <v>94</v>
      </c>
      <c r="R4" s="1190"/>
      <c r="S4" s="1188" t="s">
        <v>95</v>
      </c>
      <c r="T4" s="1190"/>
      <c r="U4" s="1188" t="s">
        <v>96</v>
      </c>
      <c r="V4" s="1190"/>
      <c r="W4" s="1188" t="s">
        <v>416</v>
      </c>
      <c r="X4" s="1190"/>
      <c r="Y4" s="1188" t="s">
        <v>417</v>
      </c>
      <c r="Z4" s="1189"/>
      <c r="AA4" s="1188" t="s">
        <v>82</v>
      </c>
      <c r="AB4" s="1189"/>
    </row>
    <row r="5" spans="1:28" ht="12" thickBot="1">
      <c r="A5" s="920" t="s">
        <v>687</v>
      </c>
      <c r="B5" s="53"/>
      <c r="C5" s="54" t="s">
        <v>97</v>
      </c>
      <c r="D5" s="55" t="s">
        <v>98</v>
      </c>
      <c r="E5" s="54" t="s">
        <v>97</v>
      </c>
      <c r="F5" s="55" t="s">
        <v>98</v>
      </c>
      <c r="G5" s="54" t="s">
        <v>97</v>
      </c>
      <c r="H5" s="55" t="s">
        <v>98</v>
      </c>
      <c r="I5" s="54" t="s">
        <v>97</v>
      </c>
      <c r="J5" s="55" t="s">
        <v>98</v>
      </c>
      <c r="K5" s="54" t="s">
        <v>97</v>
      </c>
      <c r="L5" s="55" t="s">
        <v>98</v>
      </c>
      <c r="M5" s="54" t="s">
        <v>97</v>
      </c>
      <c r="N5" s="55" t="s">
        <v>98</v>
      </c>
      <c r="O5" s="54" t="s">
        <v>97</v>
      </c>
      <c r="P5" s="55" t="s">
        <v>98</v>
      </c>
      <c r="Q5" s="54" t="s">
        <v>97</v>
      </c>
      <c r="R5" s="55" t="s">
        <v>98</v>
      </c>
      <c r="S5" s="54" t="s">
        <v>97</v>
      </c>
      <c r="T5" s="55" t="s">
        <v>98</v>
      </c>
      <c r="U5" s="54" t="s">
        <v>97</v>
      </c>
      <c r="V5" s="55" t="s">
        <v>98</v>
      </c>
      <c r="W5" s="54" t="s">
        <v>97</v>
      </c>
      <c r="X5" s="56" t="s">
        <v>98</v>
      </c>
      <c r="Y5" s="54" t="s">
        <v>97</v>
      </c>
      <c r="Z5" s="56" t="s">
        <v>98</v>
      </c>
      <c r="AA5" s="54" t="s">
        <v>97</v>
      </c>
      <c r="AB5" s="56" t="s">
        <v>98</v>
      </c>
    </row>
    <row r="6" spans="1:29" ht="13.5" customHeight="1" thickTop="1">
      <c r="A6" s="25" t="str">
        <f>'t1'!A6</f>
        <v>DIRIGENTE SCOLASTICO</v>
      </c>
      <c r="B6" s="236" t="str">
        <f>'t1'!B6</f>
        <v>0D0158</v>
      </c>
      <c r="C6" s="263"/>
      <c r="D6" s="264"/>
      <c r="E6" s="265"/>
      <c r="F6" s="264"/>
      <c r="G6" s="263"/>
      <c r="H6" s="264"/>
      <c r="I6" s="263"/>
      <c r="J6" s="264"/>
      <c r="K6" s="263"/>
      <c r="L6" s="264"/>
      <c r="M6" s="263"/>
      <c r="N6" s="264"/>
      <c r="O6" s="265"/>
      <c r="P6" s="266"/>
      <c r="Q6" s="263"/>
      <c r="R6" s="264"/>
      <c r="S6" s="263"/>
      <c r="T6" s="264"/>
      <c r="U6" s="263"/>
      <c r="V6" s="264"/>
      <c r="W6" s="267"/>
      <c r="X6" s="268"/>
      <c r="Y6" s="267"/>
      <c r="Z6" s="268"/>
      <c r="AA6" s="470">
        <f>SUM(C6,E6,G6,I6,K6,M6,O6,Q6,S6,U6,W6,Y6)</f>
        <v>0</v>
      </c>
      <c r="AB6" s="471">
        <f>SUM(D6,F6,H6,J6,L6,N6,P6,R6,T6,V6,X6,Z6)</f>
        <v>0</v>
      </c>
      <c r="AC6" s="44">
        <f>'t1'!N6</f>
        <v>0</v>
      </c>
    </row>
    <row r="7" spans="1:29" ht="13.5" customHeight="1">
      <c r="A7" s="155" t="str">
        <f>'t1'!A7</f>
        <v>PROFESSORI DI PRIMA FASCIA</v>
      </c>
      <c r="B7" s="229" t="str">
        <f>'t1'!B7</f>
        <v>018P01</v>
      </c>
      <c r="C7" s="263"/>
      <c r="D7" s="264"/>
      <c r="E7" s="265"/>
      <c r="F7" s="264"/>
      <c r="G7" s="263"/>
      <c r="H7" s="264"/>
      <c r="I7" s="263"/>
      <c r="J7" s="264"/>
      <c r="K7" s="263"/>
      <c r="L7" s="264"/>
      <c r="M7" s="263"/>
      <c r="N7" s="264"/>
      <c r="O7" s="265"/>
      <c r="P7" s="266"/>
      <c r="Q7" s="263">
        <v>1</v>
      </c>
      <c r="R7" s="264">
        <v>0</v>
      </c>
      <c r="S7" s="263">
        <v>0</v>
      </c>
      <c r="T7" s="264">
        <v>2</v>
      </c>
      <c r="U7" s="263">
        <v>2</v>
      </c>
      <c r="V7" s="264">
        <v>0</v>
      </c>
      <c r="W7" s="267">
        <v>2</v>
      </c>
      <c r="X7" s="264">
        <v>2</v>
      </c>
      <c r="Y7" s="267"/>
      <c r="Z7" s="264"/>
      <c r="AA7" s="472">
        <f aca="true" t="shared" si="0" ref="AA7:AA30">SUM(C7,E7,G7,I7,K7,M7,O7,Q7,S7,U7,W7,Y7)</f>
        <v>5</v>
      </c>
      <c r="AB7" s="473">
        <f aca="true" t="shared" si="1" ref="AB7:AB30">SUM(D7,F7,H7,J7,L7,N7,P7,R7,T7,V7,X7,Z7)</f>
        <v>4</v>
      </c>
      <c r="AC7" s="44">
        <f>'t1'!N7</f>
        <v>9</v>
      </c>
    </row>
    <row r="8" spans="1:29" ht="13.5" customHeight="1">
      <c r="A8" s="155" t="str">
        <f>'t1'!A8</f>
        <v>PROFESSORI DI SECONDA FASCIA</v>
      </c>
      <c r="B8" s="229" t="str">
        <f>'t1'!B8</f>
        <v>016P02</v>
      </c>
      <c r="C8" s="263"/>
      <c r="D8" s="264"/>
      <c r="E8" s="265"/>
      <c r="F8" s="264"/>
      <c r="G8" s="263"/>
      <c r="H8" s="264"/>
      <c r="I8" s="263"/>
      <c r="J8" s="264"/>
      <c r="K8" s="263"/>
      <c r="L8" s="264"/>
      <c r="M8" s="263"/>
      <c r="N8" s="264"/>
      <c r="O8" s="265"/>
      <c r="P8" s="266"/>
      <c r="Q8" s="263">
        <v>0</v>
      </c>
      <c r="R8" s="264">
        <v>2</v>
      </c>
      <c r="S8" s="263">
        <v>1</v>
      </c>
      <c r="T8" s="264">
        <v>1</v>
      </c>
      <c r="U8" s="263">
        <v>1</v>
      </c>
      <c r="V8" s="264">
        <v>2</v>
      </c>
      <c r="W8" s="267"/>
      <c r="X8" s="264"/>
      <c r="Y8" s="267"/>
      <c r="Z8" s="264"/>
      <c r="AA8" s="472">
        <f t="shared" si="0"/>
        <v>2</v>
      </c>
      <c r="AB8" s="473">
        <f t="shared" si="1"/>
        <v>5</v>
      </c>
      <c r="AC8" s="44">
        <f>'t1'!N8</f>
        <v>7</v>
      </c>
    </row>
    <row r="9" spans="1:29" ht="13.5" customHeight="1">
      <c r="A9" s="155" t="str">
        <f>'t1'!A9</f>
        <v>DIRETTORE AMMINISTRATIVO EP2</v>
      </c>
      <c r="B9" s="229" t="str">
        <f>'t1'!B9</f>
        <v>013504</v>
      </c>
      <c r="C9" s="263"/>
      <c r="D9" s="264"/>
      <c r="E9" s="265"/>
      <c r="F9" s="264"/>
      <c r="G9" s="263"/>
      <c r="H9" s="264"/>
      <c r="I9" s="263"/>
      <c r="J9" s="264"/>
      <c r="K9" s="263"/>
      <c r="L9" s="264"/>
      <c r="M9" s="263"/>
      <c r="N9" s="264"/>
      <c r="O9" s="265"/>
      <c r="P9" s="266"/>
      <c r="Q9" s="263"/>
      <c r="R9" s="264">
        <v>1</v>
      </c>
      <c r="S9" s="263"/>
      <c r="T9" s="264"/>
      <c r="U9" s="263"/>
      <c r="V9" s="264"/>
      <c r="W9" s="267"/>
      <c r="X9" s="264"/>
      <c r="Y9" s="267"/>
      <c r="Z9" s="264"/>
      <c r="AA9" s="472">
        <f t="shared" si="0"/>
        <v>0</v>
      </c>
      <c r="AB9" s="473">
        <f t="shared" si="1"/>
        <v>1</v>
      </c>
      <c r="AC9" s="44">
        <f>'t1'!N9</f>
        <v>1</v>
      </c>
    </row>
    <row r="10" spans="1:29" ht="13.5" customHeight="1">
      <c r="A10" s="155" t="str">
        <f>'t1'!A10</f>
        <v>DIRETTORE DELL UFFICIO DI RAGIONERIA (EP1)</v>
      </c>
      <c r="B10" s="229" t="str">
        <f>'t1'!B10</f>
        <v>013159</v>
      </c>
      <c r="C10" s="263"/>
      <c r="D10" s="264"/>
      <c r="E10" s="265"/>
      <c r="F10" s="264"/>
      <c r="G10" s="263"/>
      <c r="H10" s="264"/>
      <c r="I10" s="263"/>
      <c r="J10" s="264"/>
      <c r="K10" s="263"/>
      <c r="L10" s="264"/>
      <c r="M10" s="263"/>
      <c r="N10" s="264"/>
      <c r="O10" s="265"/>
      <c r="P10" s="266"/>
      <c r="Q10" s="263"/>
      <c r="R10" s="264"/>
      <c r="S10" s="263"/>
      <c r="T10" s="264"/>
      <c r="U10" s="263"/>
      <c r="V10" s="264">
        <v>1</v>
      </c>
      <c r="W10" s="267"/>
      <c r="X10" s="264"/>
      <c r="Y10" s="267"/>
      <c r="Z10" s="264"/>
      <c r="AA10" s="472">
        <f t="shared" si="0"/>
        <v>0</v>
      </c>
      <c r="AB10" s="473">
        <f t="shared" si="1"/>
        <v>1</v>
      </c>
      <c r="AC10" s="44">
        <f>'t1'!N10</f>
        <v>1</v>
      </c>
    </row>
    <row r="11" spans="1:29" ht="13.5" customHeight="1">
      <c r="A11" s="155" t="str">
        <f>'t1'!A11</f>
        <v>COORDINATORE DI BIBLIOTECA TECNICO E AMMINISTRATIVO(D)</v>
      </c>
      <c r="B11" s="229" t="str">
        <f>'t1'!B11</f>
        <v>013DTE</v>
      </c>
      <c r="C11" s="263"/>
      <c r="D11" s="264"/>
      <c r="E11" s="265"/>
      <c r="F11" s="264"/>
      <c r="G11" s="263"/>
      <c r="H11" s="264"/>
      <c r="I11" s="263"/>
      <c r="J11" s="264"/>
      <c r="K11" s="263"/>
      <c r="L11" s="264"/>
      <c r="M11" s="263"/>
      <c r="N11" s="264"/>
      <c r="O11" s="265"/>
      <c r="P11" s="266"/>
      <c r="Q11" s="263"/>
      <c r="R11" s="264"/>
      <c r="S11" s="263"/>
      <c r="T11" s="264"/>
      <c r="U11" s="263"/>
      <c r="V11" s="264"/>
      <c r="W11" s="267"/>
      <c r="X11" s="264"/>
      <c r="Y11" s="267"/>
      <c r="Z11" s="264"/>
      <c r="AA11" s="472">
        <f t="shared" si="0"/>
        <v>0</v>
      </c>
      <c r="AB11" s="473">
        <f t="shared" si="1"/>
        <v>0</v>
      </c>
      <c r="AC11" s="44">
        <f>'t1'!N11</f>
        <v>0</v>
      </c>
    </row>
    <row r="12" spans="1:29" ht="13.5" customHeight="1">
      <c r="A12" s="155" t="str">
        <f>'t1'!A12</f>
        <v>COLLABORATORE TEC. AMMIN. DI BIBLIOT. E DI LAB. (C)</v>
      </c>
      <c r="B12" s="229" t="str">
        <f>'t1'!B12</f>
        <v>013CTE</v>
      </c>
      <c r="C12" s="263"/>
      <c r="D12" s="264"/>
      <c r="E12" s="265"/>
      <c r="F12" s="264"/>
      <c r="G12" s="263"/>
      <c r="H12" s="264"/>
      <c r="I12" s="263"/>
      <c r="J12" s="264"/>
      <c r="K12" s="263"/>
      <c r="L12" s="264"/>
      <c r="M12" s="263"/>
      <c r="N12" s="264"/>
      <c r="O12" s="265"/>
      <c r="P12" s="266"/>
      <c r="Q12" s="263"/>
      <c r="R12" s="264"/>
      <c r="S12" s="263"/>
      <c r="T12" s="264"/>
      <c r="U12" s="263"/>
      <c r="V12" s="264"/>
      <c r="W12" s="267"/>
      <c r="X12" s="264"/>
      <c r="Y12" s="267"/>
      <c r="Z12" s="264"/>
      <c r="AA12" s="472">
        <f t="shared" si="0"/>
        <v>0</v>
      </c>
      <c r="AB12" s="473">
        <f t="shared" si="1"/>
        <v>0</v>
      </c>
      <c r="AC12" s="44">
        <f>'t1'!N12</f>
        <v>0</v>
      </c>
    </row>
    <row r="13" spans="1:29" ht="13.5" customHeight="1">
      <c r="A13" s="155" t="str">
        <f>'t1'!A13</f>
        <v>ASSISTENTE AMMINISTRATIVO (B)</v>
      </c>
      <c r="B13" s="229" t="str">
        <f>'t1'!B13</f>
        <v>012117</v>
      </c>
      <c r="C13" s="263"/>
      <c r="D13" s="264"/>
      <c r="E13" s="265"/>
      <c r="F13" s="264"/>
      <c r="G13" s="263"/>
      <c r="H13" s="264"/>
      <c r="I13" s="263"/>
      <c r="J13" s="264"/>
      <c r="K13" s="263"/>
      <c r="L13" s="264"/>
      <c r="M13" s="263"/>
      <c r="N13" s="264"/>
      <c r="O13" s="265"/>
      <c r="P13" s="266"/>
      <c r="Q13" s="263"/>
      <c r="R13" s="264"/>
      <c r="S13" s="263"/>
      <c r="T13" s="264"/>
      <c r="U13" s="263">
        <v>1</v>
      </c>
      <c r="V13" s="264">
        <v>3</v>
      </c>
      <c r="W13" s="267"/>
      <c r="X13" s="264"/>
      <c r="Y13" s="267"/>
      <c r="Z13" s="264"/>
      <c r="AA13" s="472">
        <f t="shared" si="0"/>
        <v>1</v>
      </c>
      <c r="AB13" s="473">
        <f t="shared" si="1"/>
        <v>3</v>
      </c>
      <c r="AC13" s="44">
        <f>'t1'!N13</f>
        <v>4</v>
      </c>
    </row>
    <row r="14" spans="1:29" ht="13.5" customHeight="1">
      <c r="A14" s="155" t="str">
        <f>'t1'!A14</f>
        <v>COADIUTORE (A)</v>
      </c>
      <c r="B14" s="229" t="str">
        <f>'t1'!B14</f>
        <v>011121</v>
      </c>
      <c r="C14" s="263"/>
      <c r="D14" s="264"/>
      <c r="E14" s="265"/>
      <c r="F14" s="264"/>
      <c r="G14" s="263"/>
      <c r="H14" s="264"/>
      <c r="I14" s="263"/>
      <c r="J14" s="264"/>
      <c r="K14" s="263"/>
      <c r="L14" s="264"/>
      <c r="M14" s="263"/>
      <c r="N14" s="264"/>
      <c r="O14" s="265"/>
      <c r="P14" s="266">
        <v>2</v>
      </c>
      <c r="Q14" s="263"/>
      <c r="R14" s="264">
        <v>1</v>
      </c>
      <c r="S14" s="263">
        <v>3</v>
      </c>
      <c r="T14" s="264"/>
      <c r="U14" s="263"/>
      <c r="V14" s="264"/>
      <c r="W14" s="267"/>
      <c r="X14" s="264"/>
      <c r="Y14" s="267"/>
      <c r="Z14" s="264"/>
      <c r="AA14" s="472">
        <f t="shared" si="0"/>
        <v>3</v>
      </c>
      <c r="AB14" s="473">
        <f t="shared" si="1"/>
        <v>3</v>
      </c>
      <c r="AC14" s="44">
        <f>'t1'!N14</f>
        <v>6</v>
      </c>
    </row>
    <row r="15" spans="1:29" ht="13.5" customHeight="1">
      <c r="A15" s="155" t="str">
        <f>'t1'!A15</f>
        <v>PROFESSORI DI PRIMA FASCIA TEMPO DET.ANNUALE</v>
      </c>
      <c r="B15" s="229" t="str">
        <f>'t1'!B15</f>
        <v>018PD1</v>
      </c>
      <c r="C15" s="263"/>
      <c r="D15" s="264"/>
      <c r="E15" s="265"/>
      <c r="F15" s="264"/>
      <c r="G15" s="263"/>
      <c r="H15" s="264"/>
      <c r="I15" s="263">
        <v>0</v>
      </c>
      <c r="J15" s="264">
        <v>1</v>
      </c>
      <c r="K15" s="263">
        <v>2</v>
      </c>
      <c r="L15" s="264">
        <v>0</v>
      </c>
      <c r="M15" s="263">
        <v>6</v>
      </c>
      <c r="N15" s="264">
        <v>1</v>
      </c>
      <c r="O15" s="265">
        <v>4</v>
      </c>
      <c r="P15" s="266">
        <v>3</v>
      </c>
      <c r="Q15" s="263">
        <v>3</v>
      </c>
      <c r="R15" s="264">
        <v>0</v>
      </c>
      <c r="S15" s="263">
        <v>2</v>
      </c>
      <c r="T15" s="264">
        <v>0</v>
      </c>
      <c r="U15" s="263"/>
      <c r="V15" s="264"/>
      <c r="W15" s="267"/>
      <c r="X15" s="264"/>
      <c r="Y15" s="267"/>
      <c r="Z15" s="264"/>
      <c r="AA15" s="472">
        <f t="shared" si="0"/>
        <v>17</v>
      </c>
      <c r="AB15" s="473">
        <f t="shared" si="1"/>
        <v>5</v>
      </c>
      <c r="AC15" s="44">
        <f>'t1'!N15</f>
        <v>22</v>
      </c>
    </row>
    <row r="16" spans="1:29" ht="13.5" customHeight="1">
      <c r="A16" s="155" t="str">
        <f>'t1'!A16</f>
        <v>PROFESSORI DI SECONDA FASCIA TEMPO DET.ANNUALE</v>
      </c>
      <c r="B16" s="229" t="str">
        <f>'t1'!B16</f>
        <v>016PD2</v>
      </c>
      <c r="C16" s="263"/>
      <c r="D16" s="264"/>
      <c r="E16" s="265"/>
      <c r="F16" s="264"/>
      <c r="G16" s="263"/>
      <c r="H16" s="264"/>
      <c r="I16" s="263"/>
      <c r="J16" s="264"/>
      <c r="K16" s="263">
        <v>2</v>
      </c>
      <c r="L16" s="264">
        <v>0</v>
      </c>
      <c r="M16" s="263">
        <v>0</v>
      </c>
      <c r="N16" s="264">
        <v>2</v>
      </c>
      <c r="O16" s="265">
        <v>0</v>
      </c>
      <c r="P16" s="266">
        <v>0</v>
      </c>
      <c r="Q16" s="263">
        <v>2</v>
      </c>
      <c r="R16" s="264">
        <v>0</v>
      </c>
      <c r="S16" s="263"/>
      <c r="T16" s="264"/>
      <c r="U16" s="263"/>
      <c r="V16" s="264"/>
      <c r="W16" s="267"/>
      <c r="X16" s="264"/>
      <c r="Y16" s="267"/>
      <c r="Z16" s="264"/>
      <c r="AA16" s="472">
        <f t="shared" si="0"/>
        <v>4</v>
      </c>
      <c r="AB16" s="473">
        <f t="shared" si="1"/>
        <v>2</v>
      </c>
      <c r="AC16" s="44">
        <f>'t1'!N16</f>
        <v>6</v>
      </c>
    </row>
    <row r="17" spans="1:29" ht="13.5" customHeight="1">
      <c r="A17" s="155" t="str">
        <f>'t1'!A17</f>
        <v>PROFESSORI DI PRIMA FASCIA T. DET. TERMINE ATTIV DIDATT</v>
      </c>
      <c r="B17" s="229" t="str">
        <f>'t1'!B17</f>
        <v>018DD1</v>
      </c>
      <c r="C17" s="263"/>
      <c r="D17" s="264"/>
      <c r="E17" s="265"/>
      <c r="F17" s="264"/>
      <c r="G17" s="263"/>
      <c r="H17" s="264"/>
      <c r="I17" s="263"/>
      <c r="J17" s="264"/>
      <c r="K17" s="263"/>
      <c r="L17" s="264"/>
      <c r="M17" s="263"/>
      <c r="N17" s="264"/>
      <c r="O17" s="265"/>
      <c r="P17" s="266"/>
      <c r="Q17" s="263"/>
      <c r="R17" s="264"/>
      <c r="S17" s="263"/>
      <c r="T17" s="264"/>
      <c r="U17" s="263"/>
      <c r="V17" s="264"/>
      <c r="W17" s="267"/>
      <c r="X17" s="264"/>
      <c r="Y17" s="267"/>
      <c r="Z17" s="264"/>
      <c r="AA17" s="472">
        <f t="shared" si="0"/>
        <v>0</v>
      </c>
      <c r="AB17" s="473">
        <f t="shared" si="1"/>
        <v>0</v>
      </c>
      <c r="AC17" s="44">
        <f>'t1'!N17</f>
        <v>0</v>
      </c>
    </row>
    <row r="18" spans="1:29" ht="13.5" customHeight="1">
      <c r="A18" s="155" t="str">
        <f>'t1'!A18</f>
        <v>PROFESSORI DI SECONDA FASCIA T. DET. TERMINE ATTIV DIDATT</v>
      </c>
      <c r="B18" s="229" t="str">
        <f>'t1'!B18</f>
        <v>016DD2</v>
      </c>
      <c r="C18" s="263"/>
      <c r="D18" s="264"/>
      <c r="E18" s="265"/>
      <c r="F18" s="264"/>
      <c r="G18" s="263"/>
      <c r="H18" s="264"/>
      <c r="I18" s="263"/>
      <c r="J18" s="264"/>
      <c r="K18" s="263"/>
      <c r="L18" s="264"/>
      <c r="M18" s="263"/>
      <c r="N18" s="264"/>
      <c r="O18" s="265"/>
      <c r="P18" s="266"/>
      <c r="Q18" s="263"/>
      <c r="R18" s="264"/>
      <c r="S18" s="263"/>
      <c r="T18" s="264"/>
      <c r="U18" s="263"/>
      <c r="V18" s="264"/>
      <c r="W18" s="267"/>
      <c r="X18" s="264"/>
      <c r="Y18" s="267"/>
      <c r="Z18" s="264"/>
      <c r="AA18" s="472">
        <f t="shared" si="0"/>
        <v>0</v>
      </c>
      <c r="AB18" s="473">
        <f t="shared" si="1"/>
        <v>0</v>
      </c>
      <c r="AC18" s="44">
        <f>'t1'!N18</f>
        <v>0</v>
      </c>
    </row>
    <row r="19" spans="1:29" ht="13.5" customHeight="1">
      <c r="A19" s="155" t="str">
        <f>'t1'!A19</f>
        <v>DIRETTORE AMMINISTRATIVO TEMPO DET.ANNUALE (EP2)</v>
      </c>
      <c r="B19" s="229" t="str">
        <f>'t1'!B19</f>
        <v>013EP2</v>
      </c>
      <c r="C19" s="263"/>
      <c r="D19" s="264"/>
      <c r="E19" s="265"/>
      <c r="F19" s="264"/>
      <c r="G19" s="263"/>
      <c r="H19" s="264"/>
      <c r="I19" s="263"/>
      <c r="J19" s="264"/>
      <c r="K19" s="263"/>
      <c r="L19" s="264"/>
      <c r="M19" s="263"/>
      <c r="N19" s="264"/>
      <c r="O19" s="265"/>
      <c r="P19" s="266"/>
      <c r="Q19" s="263"/>
      <c r="R19" s="264"/>
      <c r="S19" s="263"/>
      <c r="T19" s="264"/>
      <c r="U19" s="263"/>
      <c r="V19" s="264"/>
      <c r="W19" s="267"/>
      <c r="X19" s="264"/>
      <c r="Y19" s="267"/>
      <c r="Z19" s="264"/>
      <c r="AA19" s="472">
        <f t="shared" si="0"/>
        <v>0</v>
      </c>
      <c r="AB19" s="473">
        <f t="shared" si="1"/>
        <v>0</v>
      </c>
      <c r="AC19" s="44">
        <f>'t1'!N19</f>
        <v>0</v>
      </c>
    </row>
    <row r="20" spans="1:29" ht="13.5" customHeight="1">
      <c r="A20" s="155" t="str">
        <f>'t1'!A20</f>
        <v>DIRETTORE DELL UFFICIO DI RAGIONERIA TEMPO DET.ANNUALE (EP1)</v>
      </c>
      <c r="B20" s="229" t="str">
        <f>'t1'!B20</f>
        <v>013160</v>
      </c>
      <c r="C20" s="263"/>
      <c r="D20" s="264"/>
      <c r="E20" s="265"/>
      <c r="F20" s="264"/>
      <c r="G20" s="263"/>
      <c r="H20" s="264"/>
      <c r="I20" s="263"/>
      <c r="J20" s="264"/>
      <c r="K20" s="263"/>
      <c r="L20" s="264"/>
      <c r="M20" s="263"/>
      <c r="N20" s="264"/>
      <c r="O20" s="265"/>
      <c r="P20" s="266"/>
      <c r="Q20" s="263"/>
      <c r="R20" s="264"/>
      <c r="S20" s="263"/>
      <c r="T20" s="264"/>
      <c r="U20" s="263"/>
      <c r="V20" s="264"/>
      <c r="W20" s="267"/>
      <c r="X20" s="264"/>
      <c r="Y20" s="267"/>
      <c r="Z20" s="264"/>
      <c r="AA20" s="472">
        <f t="shared" si="0"/>
        <v>0</v>
      </c>
      <c r="AB20" s="473">
        <f t="shared" si="1"/>
        <v>0</v>
      </c>
      <c r="AC20" s="44">
        <f>'t1'!N20</f>
        <v>0</v>
      </c>
    </row>
    <row r="21" spans="1:29" ht="13.5" customHeight="1">
      <c r="A21" s="155" t="str">
        <f>'t1'!A21</f>
        <v>DIRETTORE AMMINISTRATIVO T. DET. TERMINE ATTIV DIDATT(EP2)</v>
      </c>
      <c r="B21" s="229" t="str">
        <f>'t1'!B21</f>
        <v>013E2N</v>
      </c>
      <c r="C21" s="263"/>
      <c r="D21" s="264"/>
      <c r="E21" s="265"/>
      <c r="F21" s="264"/>
      <c r="G21" s="263"/>
      <c r="H21" s="264"/>
      <c r="I21" s="263"/>
      <c r="J21" s="264"/>
      <c r="K21" s="263"/>
      <c r="L21" s="264"/>
      <c r="M21" s="263"/>
      <c r="N21" s="264"/>
      <c r="O21" s="265"/>
      <c r="P21" s="266"/>
      <c r="Q21" s="263"/>
      <c r="R21" s="264"/>
      <c r="S21" s="263"/>
      <c r="T21" s="264"/>
      <c r="U21" s="263"/>
      <c r="V21" s="264"/>
      <c r="W21" s="267"/>
      <c r="X21" s="264"/>
      <c r="Y21" s="267"/>
      <c r="Z21" s="264"/>
      <c r="AA21" s="472">
        <f t="shared" si="0"/>
        <v>0</v>
      </c>
      <c r="AB21" s="473">
        <f t="shared" si="1"/>
        <v>0</v>
      </c>
      <c r="AC21" s="44">
        <f>'t1'!N21</f>
        <v>0</v>
      </c>
    </row>
    <row r="22" spans="1:29" ht="13.5" customHeight="1">
      <c r="A22" s="155" t="str">
        <f>'t1'!A22</f>
        <v>DIRETTORE UFF. RAGIONERIA T. DET. TERM. ATTIV DIDATT(EP1)</v>
      </c>
      <c r="B22" s="229" t="str">
        <f>'t1'!B22</f>
        <v>013E1N</v>
      </c>
      <c r="C22" s="263"/>
      <c r="D22" s="264"/>
      <c r="E22" s="265"/>
      <c r="F22" s="264"/>
      <c r="G22" s="263"/>
      <c r="H22" s="264"/>
      <c r="I22" s="263"/>
      <c r="J22" s="264"/>
      <c r="K22" s="263"/>
      <c r="L22" s="264"/>
      <c r="M22" s="263"/>
      <c r="N22" s="264"/>
      <c r="O22" s="265"/>
      <c r="P22" s="266"/>
      <c r="Q22" s="263"/>
      <c r="R22" s="264"/>
      <c r="S22" s="263"/>
      <c r="T22" s="264"/>
      <c r="U22" s="263"/>
      <c r="V22" s="264"/>
      <c r="W22" s="267"/>
      <c r="X22" s="264"/>
      <c r="Y22" s="267"/>
      <c r="Z22" s="264"/>
      <c r="AA22" s="472">
        <f t="shared" si="0"/>
        <v>0</v>
      </c>
      <c r="AB22" s="473">
        <f t="shared" si="1"/>
        <v>0</v>
      </c>
      <c r="AC22" s="44">
        <f>'t1'!N22</f>
        <v>0</v>
      </c>
    </row>
    <row r="23" spans="1:29" ht="13.5" customHeight="1">
      <c r="A23" s="155" t="str">
        <f>'t1'!A23</f>
        <v>COORD. DI BIBLIOT., COORD. TEC. E AMM. TEMPO DET.ANNUALE</v>
      </c>
      <c r="B23" s="229" t="str">
        <f>'t1'!B23</f>
        <v>013DDE</v>
      </c>
      <c r="C23" s="263"/>
      <c r="D23" s="264"/>
      <c r="E23" s="265"/>
      <c r="F23" s="264"/>
      <c r="G23" s="263"/>
      <c r="H23" s="264"/>
      <c r="I23" s="263"/>
      <c r="J23" s="264"/>
      <c r="K23" s="263"/>
      <c r="L23" s="264"/>
      <c r="M23" s="263"/>
      <c r="N23" s="264"/>
      <c r="O23" s="265"/>
      <c r="P23" s="266"/>
      <c r="Q23" s="263"/>
      <c r="R23" s="264"/>
      <c r="S23" s="263"/>
      <c r="T23" s="264"/>
      <c r="U23" s="263"/>
      <c r="V23" s="264"/>
      <c r="W23" s="267"/>
      <c r="X23" s="264"/>
      <c r="Y23" s="267"/>
      <c r="Z23" s="264"/>
      <c r="AA23" s="472">
        <f t="shared" si="0"/>
        <v>0</v>
      </c>
      <c r="AB23" s="473">
        <f t="shared" si="1"/>
        <v>0</v>
      </c>
      <c r="AC23" s="44">
        <f>'t1'!N23</f>
        <v>0</v>
      </c>
    </row>
    <row r="24" spans="1:29" ht="13.5" customHeight="1">
      <c r="A24" s="155" t="str">
        <f>'t1'!A24</f>
        <v>COLLAB. TEC. AMMIN. DI BIBLIOT. E DI LAB. TEMPO DET.ANNUALE</v>
      </c>
      <c r="B24" s="229" t="str">
        <f>'t1'!B24</f>
        <v>013CDE</v>
      </c>
      <c r="C24" s="263"/>
      <c r="D24" s="264"/>
      <c r="E24" s="265"/>
      <c r="F24" s="264"/>
      <c r="G24" s="263"/>
      <c r="H24" s="264"/>
      <c r="I24" s="263"/>
      <c r="J24" s="264"/>
      <c r="K24" s="263"/>
      <c r="L24" s="264"/>
      <c r="M24" s="263"/>
      <c r="N24" s="264"/>
      <c r="O24" s="265"/>
      <c r="P24" s="266"/>
      <c r="Q24" s="263"/>
      <c r="R24" s="264"/>
      <c r="S24" s="263"/>
      <c r="T24" s="264"/>
      <c r="U24" s="263"/>
      <c r="V24" s="264"/>
      <c r="W24" s="267"/>
      <c r="X24" s="264"/>
      <c r="Y24" s="267"/>
      <c r="Z24" s="264"/>
      <c r="AA24" s="472">
        <f t="shared" si="0"/>
        <v>0</v>
      </c>
      <c r="AB24" s="473">
        <f t="shared" si="1"/>
        <v>0</v>
      </c>
      <c r="AC24" s="44">
        <f>'t1'!N24</f>
        <v>0</v>
      </c>
    </row>
    <row r="25" spans="1:29" ht="13.5" customHeight="1">
      <c r="A25" s="155" t="str">
        <f>'t1'!A25</f>
        <v>ASSIST. AMMINISTRATIVO TEMPO DET.ANNUALE</v>
      </c>
      <c r="B25" s="229" t="str">
        <f>'t1'!B25</f>
        <v>012118</v>
      </c>
      <c r="C25" s="263"/>
      <c r="D25" s="264"/>
      <c r="E25" s="265"/>
      <c r="F25" s="264"/>
      <c r="G25" s="263"/>
      <c r="H25" s="264"/>
      <c r="I25" s="263"/>
      <c r="J25" s="264"/>
      <c r="K25" s="263"/>
      <c r="L25" s="264"/>
      <c r="M25" s="263">
        <v>1</v>
      </c>
      <c r="N25" s="264"/>
      <c r="O25" s="265"/>
      <c r="P25" s="266"/>
      <c r="Q25" s="263"/>
      <c r="R25" s="264"/>
      <c r="S25" s="263"/>
      <c r="T25" s="264"/>
      <c r="U25" s="263"/>
      <c r="V25" s="264"/>
      <c r="W25" s="267"/>
      <c r="X25" s="264"/>
      <c r="Y25" s="267"/>
      <c r="Z25" s="264"/>
      <c r="AA25" s="472">
        <f t="shared" si="0"/>
        <v>1</v>
      </c>
      <c r="AB25" s="473">
        <f t="shared" si="1"/>
        <v>0</v>
      </c>
      <c r="AC25" s="44">
        <f>'t1'!N25</f>
        <v>1</v>
      </c>
    </row>
    <row r="26" spans="1:29" ht="13.5" customHeight="1">
      <c r="A26" s="155" t="str">
        <f>'t1'!A26</f>
        <v>COADIUTORE TEMPO DET.ANNUALE</v>
      </c>
      <c r="B26" s="229" t="str">
        <f>'t1'!B26</f>
        <v>011124</v>
      </c>
      <c r="C26" s="263"/>
      <c r="D26" s="264"/>
      <c r="E26" s="265"/>
      <c r="F26" s="264"/>
      <c r="G26" s="263"/>
      <c r="H26" s="264"/>
      <c r="I26" s="263"/>
      <c r="J26" s="264"/>
      <c r="K26" s="263"/>
      <c r="L26" s="264"/>
      <c r="M26" s="263">
        <v>1</v>
      </c>
      <c r="N26" s="264"/>
      <c r="O26" s="265"/>
      <c r="P26" s="266">
        <v>1</v>
      </c>
      <c r="Q26" s="263"/>
      <c r="R26" s="264">
        <v>1</v>
      </c>
      <c r="S26" s="263">
        <v>1</v>
      </c>
      <c r="T26" s="264"/>
      <c r="U26" s="263"/>
      <c r="V26" s="264"/>
      <c r="W26" s="267"/>
      <c r="X26" s="264"/>
      <c r="Y26" s="267"/>
      <c r="Z26" s="264"/>
      <c r="AA26" s="472">
        <f t="shared" si="0"/>
        <v>2</v>
      </c>
      <c r="AB26" s="473">
        <f t="shared" si="1"/>
        <v>2</v>
      </c>
      <c r="AC26" s="44">
        <f>'t1'!N26</f>
        <v>4</v>
      </c>
    </row>
    <row r="27" spans="1:29" ht="13.5" customHeight="1">
      <c r="A27" s="155" t="str">
        <f>'t1'!A27</f>
        <v>COORD. BIBL., COORD. TEC. E AMM. T. DET. TERM. ATTIV DIDATT</v>
      </c>
      <c r="B27" s="229" t="str">
        <f>'t1'!B27</f>
        <v>013DDN</v>
      </c>
      <c r="C27" s="263"/>
      <c r="D27" s="264"/>
      <c r="E27" s="265"/>
      <c r="F27" s="264"/>
      <c r="G27" s="263"/>
      <c r="H27" s="264"/>
      <c r="I27" s="263"/>
      <c r="J27" s="264"/>
      <c r="K27" s="263"/>
      <c r="L27" s="264"/>
      <c r="M27" s="263"/>
      <c r="N27" s="264"/>
      <c r="O27" s="265"/>
      <c r="P27" s="266"/>
      <c r="Q27" s="263"/>
      <c r="R27" s="264"/>
      <c r="S27" s="263"/>
      <c r="T27" s="264"/>
      <c r="U27" s="263"/>
      <c r="V27" s="264"/>
      <c r="W27" s="267"/>
      <c r="X27" s="264"/>
      <c r="Y27" s="267"/>
      <c r="Z27" s="264"/>
      <c r="AA27" s="472">
        <f t="shared" si="0"/>
        <v>0</v>
      </c>
      <c r="AB27" s="473">
        <f t="shared" si="1"/>
        <v>0</v>
      </c>
      <c r="AC27" s="44">
        <f>'t1'!N27</f>
        <v>0</v>
      </c>
    </row>
    <row r="28" spans="1:29" ht="13.5" customHeight="1">
      <c r="A28" s="155" t="str">
        <f>'t1'!A28</f>
        <v>COLLAB. TEC. AMM. BIBL. E DI LAB. T. D. TERM. ATTIV DIDATT</v>
      </c>
      <c r="B28" s="229" t="str">
        <f>'t1'!B28</f>
        <v>013CDN</v>
      </c>
      <c r="C28" s="263"/>
      <c r="D28" s="264"/>
      <c r="E28" s="265"/>
      <c r="F28" s="264"/>
      <c r="G28" s="263"/>
      <c r="H28" s="264"/>
      <c r="I28" s="263"/>
      <c r="J28" s="264"/>
      <c r="K28" s="263"/>
      <c r="L28" s="264"/>
      <c r="M28" s="263"/>
      <c r="N28" s="264"/>
      <c r="O28" s="265"/>
      <c r="P28" s="266"/>
      <c r="Q28" s="263"/>
      <c r="R28" s="264"/>
      <c r="S28" s="263"/>
      <c r="T28" s="264"/>
      <c r="U28" s="263"/>
      <c r="V28" s="264"/>
      <c r="W28" s="267"/>
      <c r="X28" s="264"/>
      <c r="Y28" s="267"/>
      <c r="Z28" s="264"/>
      <c r="AA28" s="472">
        <f t="shared" si="0"/>
        <v>0</v>
      </c>
      <c r="AB28" s="473">
        <f t="shared" si="1"/>
        <v>0</v>
      </c>
      <c r="AC28" s="44">
        <f>'t1'!N28</f>
        <v>0</v>
      </c>
    </row>
    <row r="29" spans="1:29" ht="13.5" customHeight="1">
      <c r="A29" s="155" t="str">
        <f>'t1'!A29</f>
        <v>ASSISTENTE AMMINISTRATIVO TEM.DET. TERMINE ATTIV DIDATT</v>
      </c>
      <c r="B29" s="229" t="str">
        <f>'t1'!B29</f>
        <v>016509</v>
      </c>
      <c r="C29" s="263"/>
      <c r="D29" s="264"/>
      <c r="E29" s="265"/>
      <c r="F29" s="264"/>
      <c r="G29" s="263"/>
      <c r="H29" s="264"/>
      <c r="I29" s="263"/>
      <c r="J29" s="264"/>
      <c r="K29" s="263"/>
      <c r="L29" s="264"/>
      <c r="M29" s="263"/>
      <c r="N29" s="264"/>
      <c r="O29" s="265"/>
      <c r="P29" s="266"/>
      <c r="Q29" s="263"/>
      <c r="R29" s="264"/>
      <c r="S29" s="263"/>
      <c r="T29" s="264"/>
      <c r="U29" s="263"/>
      <c r="V29" s="264"/>
      <c r="W29" s="267"/>
      <c r="X29" s="264"/>
      <c r="Y29" s="267"/>
      <c r="Z29" s="264"/>
      <c r="AA29" s="472">
        <f t="shared" si="0"/>
        <v>0</v>
      </c>
      <c r="AB29" s="473">
        <f t="shared" si="1"/>
        <v>0</v>
      </c>
      <c r="AC29" s="44">
        <f>'t1'!N29</f>
        <v>0</v>
      </c>
    </row>
    <row r="30" spans="1:29" ht="13.5" customHeight="1" thickBot="1">
      <c r="A30" s="155" t="str">
        <f>'t1'!A30</f>
        <v>COADIUTORE TEMPO DET. TERMINE ATTIV DIDATT</v>
      </c>
      <c r="B30" s="229" t="str">
        <f>'t1'!B30</f>
        <v>011CNA</v>
      </c>
      <c r="C30" s="263"/>
      <c r="D30" s="264"/>
      <c r="E30" s="265"/>
      <c r="F30" s="264"/>
      <c r="G30" s="263"/>
      <c r="H30" s="264"/>
      <c r="I30" s="263"/>
      <c r="J30" s="264"/>
      <c r="K30" s="263"/>
      <c r="L30" s="264"/>
      <c r="M30" s="263"/>
      <c r="N30" s="264"/>
      <c r="O30" s="265"/>
      <c r="P30" s="266"/>
      <c r="Q30" s="263"/>
      <c r="R30" s="264"/>
      <c r="S30" s="263"/>
      <c r="T30" s="264"/>
      <c r="U30" s="263"/>
      <c r="V30" s="264"/>
      <c r="W30" s="267"/>
      <c r="X30" s="264"/>
      <c r="Y30" s="267"/>
      <c r="Z30" s="264"/>
      <c r="AA30" s="472">
        <f t="shared" si="0"/>
        <v>0</v>
      </c>
      <c r="AB30" s="473">
        <f t="shared" si="1"/>
        <v>0</v>
      </c>
      <c r="AC30" s="44">
        <f>'t1'!N30</f>
        <v>0</v>
      </c>
    </row>
    <row r="31" spans="1:28" ht="16.5" customHeight="1" thickBot="1" thickTop="1">
      <c r="A31" s="57" t="s">
        <v>82</v>
      </c>
      <c r="B31" s="58"/>
      <c r="C31" s="474">
        <f aca="true" t="shared" si="2" ref="C31:AB31">SUM(C6:C30)</f>
        <v>0</v>
      </c>
      <c r="D31" s="476">
        <f t="shared" si="2"/>
        <v>0</v>
      </c>
      <c r="E31" s="474">
        <f t="shared" si="2"/>
        <v>0</v>
      </c>
      <c r="F31" s="476">
        <f t="shared" si="2"/>
        <v>0</v>
      </c>
      <c r="G31" s="474">
        <f t="shared" si="2"/>
        <v>0</v>
      </c>
      <c r="H31" s="476">
        <f t="shared" si="2"/>
        <v>0</v>
      </c>
      <c r="I31" s="474">
        <f t="shared" si="2"/>
        <v>0</v>
      </c>
      <c r="J31" s="476">
        <f t="shared" si="2"/>
        <v>1</v>
      </c>
      <c r="K31" s="474">
        <f t="shared" si="2"/>
        <v>4</v>
      </c>
      <c r="L31" s="476">
        <f t="shared" si="2"/>
        <v>0</v>
      </c>
      <c r="M31" s="474">
        <f t="shared" si="2"/>
        <v>8</v>
      </c>
      <c r="N31" s="476">
        <f t="shared" si="2"/>
        <v>3</v>
      </c>
      <c r="O31" s="474">
        <f t="shared" si="2"/>
        <v>4</v>
      </c>
      <c r="P31" s="476">
        <f t="shared" si="2"/>
        <v>6</v>
      </c>
      <c r="Q31" s="474">
        <f t="shared" si="2"/>
        <v>6</v>
      </c>
      <c r="R31" s="476">
        <f t="shared" si="2"/>
        <v>5</v>
      </c>
      <c r="S31" s="474">
        <f t="shared" si="2"/>
        <v>7</v>
      </c>
      <c r="T31" s="476">
        <f t="shared" si="2"/>
        <v>3</v>
      </c>
      <c r="U31" s="474">
        <f t="shared" si="2"/>
        <v>4</v>
      </c>
      <c r="V31" s="476">
        <f t="shared" si="2"/>
        <v>6</v>
      </c>
      <c r="W31" s="474">
        <f t="shared" si="2"/>
        <v>2</v>
      </c>
      <c r="X31" s="476">
        <f t="shared" si="2"/>
        <v>2</v>
      </c>
      <c r="Y31" s="474">
        <f t="shared" si="2"/>
        <v>0</v>
      </c>
      <c r="Z31" s="476">
        <f t="shared" si="2"/>
        <v>0</v>
      </c>
      <c r="AA31" s="474">
        <f t="shared" si="2"/>
        <v>35</v>
      </c>
      <c r="AB31" s="475">
        <f t="shared" si="2"/>
        <v>26</v>
      </c>
    </row>
    <row r="32" spans="1:28" ht="8.25" customHeight="1">
      <c r="A32" s="158"/>
      <c r="B32" s="159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</row>
    <row r="33" spans="1:13" ht="11.25">
      <c r="A33" s="26">
        <f>'t1'!$A$33</f>
      </c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79"/>
    </row>
    <row r="34" spans="1:2" s="5" customFormat="1" ht="11.25">
      <c r="A34" s="26"/>
      <c r="B34" s="7"/>
    </row>
  </sheetData>
  <sheetProtection password="EA98" sheet="1" formatColumns="0" selectLockedCells="1"/>
  <mergeCells count="14">
    <mergeCell ref="K4:L4"/>
    <mergeCell ref="O4:P4"/>
    <mergeCell ref="Q4:R4"/>
    <mergeCell ref="S4:T4"/>
    <mergeCell ref="AA4:AB4"/>
    <mergeCell ref="U4:V4"/>
    <mergeCell ref="Y4:Z4"/>
    <mergeCell ref="W4:X4"/>
    <mergeCell ref="A1:Y1"/>
    <mergeCell ref="S2:AB2"/>
    <mergeCell ref="M4:N4"/>
    <mergeCell ref="C4:D4"/>
    <mergeCell ref="G4:H4"/>
    <mergeCell ref="I4:J4"/>
  </mergeCells>
  <conditionalFormatting sqref="A6:AB30">
    <cfRule type="expression" priority="2" dxfId="3" stopIfTrue="1">
      <formula>$AC6&gt;0</formula>
    </cfRule>
  </conditionalFormatting>
  <conditionalFormatting sqref="C6:Z27">
    <cfRule type="expression" priority="1" dxfId="3" stopIfTrue="1">
      <formula>$AC6&gt;0</formula>
    </cfRule>
  </conditionalFormatting>
  <printOptions horizontalCentered="1" verticalCentered="1"/>
  <pageMargins left="0" right="0" top="0.1968503937007874" bottom="0.15748031496062992" header="0.2362204724409449" footer="0.1968503937007874"/>
  <pageSetup horizontalDpi="600" verticalDpi="6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6"/>
  <dimension ref="A1:T33"/>
  <sheetViews>
    <sheetView showGridLines="0" zoomScalePageLayoutView="0" workbookViewId="0" topLeftCell="A1">
      <pane xSplit="2" ySplit="5" topLeftCell="C15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D26" sqref="D26"/>
    </sheetView>
  </sheetViews>
  <sheetFormatPr defaultColWidth="10.66015625" defaultRowHeight="10.5"/>
  <cols>
    <col min="1" max="1" width="57.83203125" style="36" customWidth="1"/>
    <col min="2" max="2" width="10.83203125" style="36" customWidth="1"/>
    <col min="3" max="16" width="13.66015625" style="36" customWidth="1"/>
    <col min="17" max="17" width="0" style="36" hidden="1" customWidth="1"/>
    <col min="18" max="16384" width="10.66015625" style="36" customWidth="1"/>
  </cols>
  <sheetData>
    <row r="1" spans="1:17" s="5" customFormat="1" ht="43.5" customHeight="1">
      <c r="A1" s="1155" t="str">
        <f>'t1'!A1</f>
        <v>COMPARTO AFAM - anno 2016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3"/>
      <c r="P1" s="320"/>
      <c r="Q1"/>
    </row>
    <row r="2" spans="1:17" s="5" customFormat="1" ht="5.25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"/>
      <c r="P2" s="320"/>
      <c r="Q2"/>
    </row>
    <row r="3" spans="13:16" ht="30" customHeight="1" thickBot="1">
      <c r="M3" s="1156"/>
      <c r="N3" s="1156"/>
      <c r="O3" s="1156"/>
      <c r="P3" s="1156"/>
    </row>
    <row r="4" spans="1:16" ht="24.75" customHeight="1">
      <c r="A4" s="915" t="s">
        <v>152</v>
      </c>
      <c r="B4" s="269" t="s">
        <v>78</v>
      </c>
      <c r="C4" s="1193" t="s">
        <v>86</v>
      </c>
      <c r="D4" s="1194"/>
      <c r="E4" s="1193" t="s">
        <v>87</v>
      </c>
      <c r="F4" s="1194"/>
      <c r="G4" s="1191" t="s">
        <v>63</v>
      </c>
      <c r="H4" s="1192"/>
      <c r="I4" s="1191" t="s">
        <v>88</v>
      </c>
      <c r="J4" s="1192"/>
      <c r="K4" s="1191" t="s">
        <v>64</v>
      </c>
      <c r="L4" s="1192"/>
      <c r="M4" s="1191" t="s">
        <v>65</v>
      </c>
      <c r="N4" s="1192"/>
      <c r="O4" s="554" t="s">
        <v>82</v>
      </c>
      <c r="P4" s="555"/>
    </row>
    <row r="5" spans="1:16" ht="14.25" customHeight="1" thickBot="1">
      <c r="A5" s="921" t="s">
        <v>687</v>
      </c>
      <c r="B5" s="37"/>
      <c r="C5" s="38" t="s">
        <v>80</v>
      </c>
      <c r="D5" s="39" t="s">
        <v>81</v>
      </c>
      <c r="E5" s="38" t="s">
        <v>80</v>
      </c>
      <c r="F5" s="39" t="s">
        <v>81</v>
      </c>
      <c r="G5" s="38" t="s">
        <v>80</v>
      </c>
      <c r="H5" s="40" t="s">
        <v>81</v>
      </c>
      <c r="I5" s="38" t="s">
        <v>80</v>
      </c>
      <c r="J5" s="40" t="s">
        <v>81</v>
      </c>
      <c r="K5" s="38" t="s">
        <v>80</v>
      </c>
      <c r="L5" s="41" t="s">
        <v>81</v>
      </c>
      <c r="M5" s="38" t="s">
        <v>80</v>
      </c>
      <c r="N5" s="41" t="s">
        <v>81</v>
      </c>
      <c r="O5" s="557" t="s">
        <v>80</v>
      </c>
      <c r="P5" s="558" t="s">
        <v>81</v>
      </c>
    </row>
    <row r="6" spans="1:17" ht="13.5" customHeight="1" thickTop="1">
      <c r="A6" s="25" t="str">
        <f>'t1'!A6</f>
        <v>DIRIGENTE SCOLASTICO</v>
      </c>
      <c r="B6" s="236" t="str">
        <f>'t1'!B6</f>
        <v>0D0158</v>
      </c>
      <c r="C6" s="338"/>
      <c r="D6" s="339"/>
      <c r="E6" s="338"/>
      <c r="F6" s="339"/>
      <c r="G6" s="338"/>
      <c r="H6" s="340"/>
      <c r="I6" s="550"/>
      <c r="J6" s="340"/>
      <c r="K6" s="550"/>
      <c r="L6" s="340"/>
      <c r="M6" s="341"/>
      <c r="N6" s="342"/>
      <c r="O6" s="556">
        <f>SUM(C6,E6,G6,I6,K6,M6)</f>
        <v>0</v>
      </c>
      <c r="P6" s="559">
        <f>SUM(D6,F6,H6,J6,L6,N6)</f>
        <v>0</v>
      </c>
      <c r="Q6" s="36">
        <f>'t1'!N6</f>
        <v>0</v>
      </c>
    </row>
    <row r="7" spans="1:17" ht="13.5" customHeight="1">
      <c r="A7" s="155" t="str">
        <f>'t1'!A7</f>
        <v>PROFESSORI DI PRIMA FASCIA</v>
      </c>
      <c r="B7" s="229" t="str">
        <f>'t1'!B7</f>
        <v>018P01</v>
      </c>
      <c r="C7" s="343"/>
      <c r="D7" s="344"/>
      <c r="E7" s="343">
        <v>0</v>
      </c>
      <c r="F7" s="344">
        <v>1</v>
      </c>
      <c r="G7" s="343"/>
      <c r="H7" s="345"/>
      <c r="I7" s="551">
        <v>5</v>
      </c>
      <c r="J7" s="345">
        <v>3</v>
      </c>
      <c r="K7" s="551"/>
      <c r="L7" s="345"/>
      <c r="M7" s="346"/>
      <c r="N7" s="347"/>
      <c r="O7" s="477">
        <f aca="true" t="shared" si="0" ref="O7:O30">SUM(C7,E7,G7,I7,K7,M7)</f>
        <v>5</v>
      </c>
      <c r="P7" s="478">
        <f aca="true" t="shared" si="1" ref="P7:P30">SUM(D7,F7,H7,J7,L7,N7)</f>
        <v>4</v>
      </c>
      <c r="Q7" s="36">
        <f>'t1'!N7</f>
        <v>9</v>
      </c>
    </row>
    <row r="8" spans="1:17" ht="13.5" customHeight="1">
      <c r="A8" s="155" t="str">
        <f>'t1'!A8</f>
        <v>PROFESSORI DI SECONDA FASCIA</v>
      </c>
      <c r="B8" s="229" t="str">
        <f>'t1'!B8</f>
        <v>016P02</v>
      </c>
      <c r="C8" s="343"/>
      <c r="D8" s="344"/>
      <c r="E8" s="343"/>
      <c r="F8" s="344"/>
      <c r="G8" s="343"/>
      <c r="H8" s="345"/>
      <c r="I8" s="551">
        <v>2</v>
      </c>
      <c r="J8" s="345">
        <v>5</v>
      </c>
      <c r="K8" s="551"/>
      <c r="L8" s="345"/>
      <c r="M8" s="346"/>
      <c r="N8" s="347"/>
      <c r="O8" s="477">
        <f t="shared" si="0"/>
        <v>2</v>
      </c>
      <c r="P8" s="478">
        <f t="shared" si="1"/>
        <v>5</v>
      </c>
      <c r="Q8" s="36">
        <f>'t1'!N8</f>
        <v>7</v>
      </c>
    </row>
    <row r="9" spans="1:17" ht="13.5" customHeight="1">
      <c r="A9" s="155" t="str">
        <f>'t1'!A9</f>
        <v>DIRETTORE AMMINISTRATIVO EP2</v>
      </c>
      <c r="B9" s="229" t="str">
        <f>'t1'!B9</f>
        <v>013504</v>
      </c>
      <c r="C9" s="343"/>
      <c r="D9" s="344"/>
      <c r="E9" s="343"/>
      <c r="F9" s="344"/>
      <c r="G9" s="343"/>
      <c r="H9" s="345"/>
      <c r="I9" s="551"/>
      <c r="J9" s="345">
        <v>1</v>
      </c>
      <c r="K9" s="551"/>
      <c r="L9" s="345"/>
      <c r="M9" s="346"/>
      <c r="N9" s="347"/>
      <c r="O9" s="477">
        <f t="shared" si="0"/>
        <v>0</v>
      </c>
      <c r="P9" s="478">
        <f t="shared" si="1"/>
        <v>1</v>
      </c>
      <c r="Q9" s="36">
        <f>'t1'!N9</f>
        <v>1</v>
      </c>
    </row>
    <row r="10" spans="1:17" ht="13.5" customHeight="1">
      <c r="A10" s="155" t="str">
        <f>'t1'!A10</f>
        <v>DIRETTORE DELL UFFICIO DI RAGIONERIA (EP1)</v>
      </c>
      <c r="B10" s="229" t="str">
        <f>'t1'!B10</f>
        <v>013159</v>
      </c>
      <c r="C10" s="343"/>
      <c r="D10" s="344"/>
      <c r="E10" s="343"/>
      <c r="F10" s="344">
        <v>1</v>
      </c>
      <c r="G10" s="343"/>
      <c r="H10" s="345"/>
      <c r="I10" s="551"/>
      <c r="J10" s="345"/>
      <c r="K10" s="551"/>
      <c r="L10" s="345"/>
      <c r="M10" s="346"/>
      <c r="N10" s="347"/>
      <c r="O10" s="477">
        <f t="shared" si="0"/>
        <v>0</v>
      </c>
      <c r="P10" s="478">
        <f t="shared" si="1"/>
        <v>1</v>
      </c>
      <c r="Q10" s="36">
        <f>'t1'!N10</f>
        <v>1</v>
      </c>
    </row>
    <row r="11" spans="1:17" ht="13.5" customHeight="1">
      <c r="A11" s="155" t="str">
        <f>'t1'!A11</f>
        <v>COORDINATORE DI BIBLIOTECA TECNICO E AMMINISTRATIVO(D)</v>
      </c>
      <c r="B11" s="229" t="str">
        <f>'t1'!B11</f>
        <v>013DTE</v>
      </c>
      <c r="C11" s="343"/>
      <c r="D11" s="344"/>
      <c r="E11" s="343"/>
      <c r="F11" s="344"/>
      <c r="G11" s="343"/>
      <c r="H11" s="345"/>
      <c r="I11" s="551"/>
      <c r="J11" s="345"/>
      <c r="K11" s="551"/>
      <c r="L11" s="345"/>
      <c r="M11" s="346"/>
      <c r="N11" s="347"/>
      <c r="O11" s="477">
        <f t="shared" si="0"/>
        <v>0</v>
      </c>
      <c r="P11" s="478">
        <f t="shared" si="1"/>
        <v>0</v>
      </c>
      <c r="Q11" s="36">
        <f>'t1'!N11</f>
        <v>0</v>
      </c>
    </row>
    <row r="12" spans="1:17" ht="13.5" customHeight="1">
      <c r="A12" s="155" t="str">
        <f>'t1'!A12</f>
        <v>COLLABORATORE TEC. AMMIN. DI BIBLIOT. E DI LAB. (C)</v>
      </c>
      <c r="B12" s="229" t="str">
        <f>'t1'!B12</f>
        <v>013CTE</v>
      </c>
      <c r="C12" s="343"/>
      <c r="D12" s="344"/>
      <c r="E12" s="343"/>
      <c r="F12" s="344"/>
      <c r="G12" s="343"/>
      <c r="H12" s="345"/>
      <c r="I12" s="551"/>
      <c r="J12" s="345"/>
      <c r="K12" s="551"/>
      <c r="L12" s="345"/>
      <c r="M12" s="346"/>
      <c r="N12" s="347"/>
      <c r="O12" s="477">
        <f t="shared" si="0"/>
        <v>0</v>
      </c>
      <c r="P12" s="478">
        <f t="shared" si="1"/>
        <v>0</v>
      </c>
      <c r="Q12" s="36">
        <f>'t1'!N12</f>
        <v>0</v>
      </c>
    </row>
    <row r="13" spans="1:17" ht="13.5" customHeight="1">
      <c r="A13" s="155" t="str">
        <f>'t1'!A13</f>
        <v>ASSISTENTE AMMINISTRATIVO (B)</v>
      </c>
      <c r="B13" s="229" t="str">
        <f>'t1'!B13</f>
        <v>012117</v>
      </c>
      <c r="C13" s="343"/>
      <c r="D13" s="344"/>
      <c r="E13" s="343">
        <v>1</v>
      </c>
      <c r="F13" s="344">
        <v>2</v>
      </c>
      <c r="G13" s="343"/>
      <c r="H13" s="345"/>
      <c r="I13" s="551"/>
      <c r="J13" s="345">
        <v>1</v>
      </c>
      <c r="K13" s="551"/>
      <c r="L13" s="345"/>
      <c r="M13" s="346"/>
      <c r="N13" s="347"/>
      <c r="O13" s="477">
        <f t="shared" si="0"/>
        <v>1</v>
      </c>
      <c r="P13" s="478">
        <f t="shared" si="1"/>
        <v>3</v>
      </c>
      <c r="Q13" s="36">
        <f>'t1'!N13</f>
        <v>4</v>
      </c>
    </row>
    <row r="14" spans="1:17" ht="13.5" customHeight="1">
      <c r="A14" s="155" t="str">
        <f>'t1'!A14</f>
        <v>COADIUTORE (A)</v>
      </c>
      <c r="B14" s="229" t="str">
        <f>'t1'!B14</f>
        <v>011121</v>
      </c>
      <c r="C14" s="343">
        <v>2</v>
      </c>
      <c r="D14" s="344">
        <v>2</v>
      </c>
      <c r="E14" s="343">
        <v>1</v>
      </c>
      <c r="F14" s="344">
        <v>1</v>
      </c>
      <c r="G14" s="343"/>
      <c r="H14" s="345"/>
      <c r="I14" s="551"/>
      <c r="J14" s="345"/>
      <c r="K14" s="551"/>
      <c r="L14" s="345"/>
      <c r="M14" s="346"/>
      <c r="N14" s="347"/>
      <c r="O14" s="477">
        <f t="shared" si="0"/>
        <v>3</v>
      </c>
      <c r="P14" s="478">
        <f t="shared" si="1"/>
        <v>3</v>
      </c>
      <c r="Q14" s="36">
        <f>'t1'!N14</f>
        <v>6</v>
      </c>
    </row>
    <row r="15" spans="1:17" ht="13.5" customHeight="1">
      <c r="A15" s="155" t="str">
        <f>'t1'!A15</f>
        <v>PROFESSORI DI PRIMA FASCIA TEMPO DET.ANNUALE</v>
      </c>
      <c r="B15" s="229" t="str">
        <f>'t1'!B15</f>
        <v>018PD1</v>
      </c>
      <c r="C15" s="343"/>
      <c r="D15" s="344"/>
      <c r="E15" s="343">
        <v>4</v>
      </c>
      <c r="F15" s="344">
        <v>2</v>
      </c>
      <c r="G15" s="343">
        <v>1</v>
      </c>
      <c r="H15" s="345">
        <v>0</v>
      </c>
      <c r="I15" s="551">
        <v>12</v>
      </c>
      <c r="J15" s="345">
        <v>3</v>
      </c>
      <c r="K15" s="551"/>
      <c r="L15" s="345"/>
      <c r="M15" s="346"/>
      <c r="N15" s="347"/>
      <c r="O15" s="477">
        <f t="shared" si="0"/>
        <v>17</v>
      </c>
      <c r="P15" s="478">
        <f t="shared" si="1"/>
        <v>5</v>
      </c>
      <c r="Q15" s="36">
        <f>'t1'!N15</f>
        <v>22</v>
      </c>
    </row>
    <row r="16" spans="1:17" ht="13.5" customHeight="1">
      <c r="A16" s="155" t="str">
        <f>'t1'!A16</f>
        <v>PROFESSORI DI SECONDA FASCIA TEMPO DET.ANNUALE</v>
      </c>
      <c r="B16" s="229" t="str">
        <f>'t1'!B16</f>
        <v>016PD2</v>
      </c>
      <c r="C16" s="343"/>
      <c r="D16" s="344"/>
      <c r="E16" s="343">
        <v>0</v>
      </c>
      <c r="F16" s="344">
        <v>1</v>
      </c>
      <c r="G16" s="343">
        <v>4</v>
      </c>
      <c r="H16" s="345">
        <v>1</v>
      </c>
      <c r="I16" s="551"/>
      <c r="J16" s="345"/>
      <c r="K16" s="551"/>
      <c r="L16" s="345"/>
      <c r="M16" s="346"/>
      <c r="N16" s="347"/>
      <c r="O16" s="477">
        <f t="shared" si="0"/>
        <v>4</v>
      </c>
      <c r="P16" s="478">
        <f t="shared" si="1"/>
        <v>2</v>
      </c>
      <c r="Q16" s="36">
        <f>'t1'!N16</f>
        <v>6</v>
      </c>
    </row>
    <row r="17" spans="1:17" ht="13.5" customHeight="1">
      <c r="A17" s="155" t="str">
        <f>'t1'!A17</f>
        <v>PROFESSORI DI PRIMA FASCIA T. DET. TERMINE ATTIV DIDATT</v>
      </c>
      <c r="B17" s="229" t="str">
        <f>'t1'!B17</f>
        <v>018DD1</v>
      </c>
      <c r="C17" s="343"/>
      <c r="D17" s="344"/>
      <c r="E17" s="343"/>
      <c r="F17" s="344"/>
      <c r="G17" s="343"/>
      <c r="H17" s="345"/>
      <c r="I17" s="551"/>
      <c r="J17" s="345"/>
      <c r="K17" s="551"/>
      <c r="L17" s="345"/>
      <c r="M17" s="346"/>
      <c r="N17" s="347"/>
      <c r="O17" s="477">
        <f t="shared" si="0"/>
        <v>0</v>
      </c>
      <c r="P17" s="478">
        <f t="shared" si="1"/>
        <v>0</v>
      </c>
      <c r="Q17" s="36">
        <f>'t1'!N17</f>
        <v>0</v>
      </c>
    </row>
    <row r="18" spans="1:17" ht="13.5" customHeight="1">
      <c r="A18" s="155" t="str">
        <f>'t1'!A18</f>
        <v>PROFESSORI DI SECONDA FASCIA T. DET. TERMINE ATTIV DIDATT</v>
      </c>
      <c r="B18" s="229" t="str">
        <f>'t1'!B18</f>
        <v>016DD2</v>
      </c>
      <c r="C18" s="343"/>
      <c r="D18" s="344"/>
      <c r="E18" s="343"/>
      <c r="F18" s="344"/>
      <c r="G18" s="343"/>
      <c r="H18" s="345"/>
      <c r="I18" s="551"/>
      <c r="J18" s="345"/>
      <c r="K18" s="551"/>
      <c r="L18" s="345"/>
      <c r="M18" s="346"/>
      <c r="N18" s="347"/>
      <c r="O18" s="477">
        <f t="shared" si="0"/>
        <v>0</v>
      </c>
      <c r="P18" s="478">
        <f t="shared" si="1"/>
        <v>0</v>
      </c>
      <c r="Q18" s="36">
        <f>'t1'!N18</f>
        <v>0</v>
      </c>
    </row>
    <row r="19" spans="1:17" ht="13.5" customHeight="1">
      <c r="A19" s="155" t="str">
        <f>'t1'!A19</f>
        <v>DIRETTORE AMMINISTRATIVO TEMPO DET.ANNUALE (EP2)</v>
      </c>
      <c r="B19" s="229" t="str">
        <f>'t1'!B19</f>
        <v>013EP2</v>
      </c>
      <c r="C19" s="343"/>
      <c r="D19" s="344"/>
      <c r="E19" s="343"/>
      <c r="F19" s="344"/>
      <c r="G19" s="343"/>
      <c r="H19" s="345"/>
      <c r="I19" s="551"/>
      <c r="J19" s="345"/>
      <c r="K19" s="551"/>
      <c r="L19" s="345"/>
      <c r="M19" s="346"/>
      <c r="N19" s="347"/>
      <c r="O19" s="477">
        <f t="shared" si="0"/>
        <v>0</v>
      </c>
      <c r="P19" s="478">
        <f t="shared" si="1"/>
        <v>0</v>
      </c>
      <c r="Q19" s="36">
        <f>'t1'!N19</f>
        <v>0</v>
      </c>
    </row>
    <row r="20" spans="1:17" ht="13.5" customHeight="1">
      <c r="A20" s="155" t="str">
        <f>'t1'!A20</f>
        <v>DIRETTORE DELL UFFICIO DI RAGIONERIA TEMPO DET.ANNUALE (EP1)</v>
      </c>
      <c r="B20" s="229" t="str">
        <f>'t1'!B20</f>
        <v>013160</v>
      </c>
      <c r="C20" s="343"/>
      <c r="D20" s="344"/>
      <c r="E20" s="343"/>
      <c r="F20" s="344"/>
      <c r="G20" s="343"/>
      <c r="H20" s="345"/>
      <c r="I20" s="551"/>
      <c r="J20" s="345"/>
      <c r="K20" s="551"/>
      <c r="L20" s="345"/>
      <c r="M20" s="346"/>
      <c r="N20" s="347"/>
      <c r="O20" s="477">
        <f t="shared" si="0"/>
        <v>0</v>
      </c>
      <c r="P20" s="478">
        <f t="shared" si="1"/>
        <v>0</v>
      </c>
      <c r="Q20" s="36">
        <f>'t1'!N20</f>
        <v>0</v>
      </c>
    </row>
    <row r="21" spans="1:17" ht="13.5" customHeight="1">
      <c r="A21" s="155" t="str">
        <f>'t1'!A21</f>
        <v>DIRETTORE AMMINISTRATIVO T. DET. TERMINE ATTIV DIDATT(EP2)</v>
      </c>
      <c r="B21" s="229" t="str">
        <f>'t1'!B21</f>
        <v>013E2N</v>
      </c>
      <c r="C21" s="343"/>
      <c r="D21" s="344"/>
      <c r="E21" s="343"/>
      <c r="F21" s="344"/>
      <c r="G21" s="343"/>
      <c r="H21" s="345"/>
      <c r="I21" s="551"/>
      <c r="J21" s="345"/>
      <c r="K21" s="551"/>
      <c r="L21" s="345"/>
      <c r="M21" s="346"/>
      <c r="N21" s="347"/>
      <c r="O21" s="477">
        <f t="shared" si="0"/>
        <v>0</v>
      </c>
      <c r="P21" s="478">
        <f t="shared" si="1"/>
        <v>0</v>
      </c>
      <c r="Q21" s="36">
        <f>'t1'!N21</f>
        <v>0</v>
      </c>
    </row>
    <row r="22" spans="1:17" ht="13.5" customHeight="1">
      <c r="A22" s="155" t="str">
        <f>'t1'!A22</f>
        <v>DIRETTORE UFF. RAGIONERIA T. DET. TERM. ATTIV DIDATT(EP1)</v>
      </c>
      <c r="B22" s="229" t="str">
        <f>'t1'!B22</f>
        <v>013E1N</v>
      </c>
      <c r="C22" s="343"/>
      <c r="D22" s="344"/>
      <c r="E22" s="343"/>
      <c r="F22" s="344"/>
      <c r="G22" s="343"/>
      <c r="H22" s="345"/>
      <c r="I22" s="551"/>
      <c r="J22" s="345"/>
      <c r="K22" s="551"/>
      <c r="L22" s="345"/>
      <c r="M22" s="346"/>
      <c r="N22" s="347"/>
      <c r="O22" s="477">
        <f t="shared" si="0"/>
        <v>0</v>
      </c>
      <c r="P22" s="478">
        <f t="shared" si="1"/>
        <v>0</v>
      </c>
      <c r="Q22" s="36">
        <f>'t1'!N22</f>
        <v>0</v>
      </c>
    </row>
    <row r="23" spans="1:17" ht="13.5" customHeight="1">
      <c r="A23" s="155" t="str">
        <f>'t1'!A23</f>
        <v>COORD. DI BIBLIOT., COORD. TEC. E AMM. TEMPO DET.ANNUALE</v>
      </c>
      <c r="B23" s="229" t="str">
        <f>'t1'!B23</f>
        <v>013DDE</v>
      </c>
      <c r="C23" s="343"/>
      <c r="D23" s="344"/>
      <c r="E23" s="343"/>
      <c r="F23" s="344"/>
      <c r="G23" s="343"/>
      <c r="H23" s="345"/>
      <c r="I23" s="551"/>
      <c r="J23" s="345"/>
      <c r="K23" s="551"/>
      <c r="L23" s="345"/>
      <c r="M23" s="346"/>
      <c r="N23" s="347"/>
      <c r="O23" s="477">
        <f t="shared" si="0"/>
        <v>0</v>
      </c>
      <c r="P23" s="478">
        <f t="shared" si="1"/>
        <v>0</v>
      </c>
      <c r="Q23" s="36">
        <f>'t1'!N23</f>
        <v>0</v>
      </c>
    </row>
    <row r="24" spans="1:17" ht="13.5" customHeight="1">
      <c r="A24" s="155" t="str">
        <f>'t1'!A24</f>
        <v>COLLAB. TEC. AMMIN. DI BIBLIOT. E DI LAB. TEMPO DET.ANNUALE</v>
      </c>
      <c r="B24" s="229" t="str">
        <f>'t1'!B24</f>
        <v>013CDE</v>
      </c>
      <c r="C24" s="343"/>
      <c r="D24" s="344"/>
      <c r="E24" s="343"/>
      <c r="F24" s="344"/>
      <c r="G24" s="343"/>
      <c r="H24" s="345"/>
      <c r="I24" s="551"/>
      <c r="J24" s="345"/>
      <c r="K24" s="551"/>
      <c r="L24" s="345"/>
      <c r="M24" s="346"/>
      <c r="N24" s="347"/>
      <c r="O24" s="477">
        <f t="shared" si="0"/>
        <v>0</v>
      </c>
      <c r="P24" s="478">
        <f t="shared" si="1"/>
        <v>0</v>
      </c>
      <c r="Q24" s="36">
        <f>'t1'!N24</f>
        <v>0</v>
      </c>
    </row>
    <row r="25" spans="1:17" ht="13.5" customHeight="1">
      <c r="A25" s="155" t="str">
        <f>'t1'!A25</f>
        <v>ASSIST. AMMINISTRATIVO TEMPO DET.ANNUALE</v>
      </c>
      <c r="B25" s="229" t="str">
        <f>'t1'!B25</f>
        <v>012118</v>
      </c>
      <c r="C25" s="343"/>
      <c r="D25" s="344"/>
      <c r="E25" s="343">
        <v>1</v>
      </c>
      <c r="F25" s="344"/>
      <c r="G25" s="343"/>
      <c r="H25" s="345"/>
      <c r="I25" s="551"/>
      <c r="J25" s="345"/>
      <c r="K25" s="551"/>
      <c r="L25" s="345"/>
      <c r="M25" s="346"/>
      <c r="N25" s="347"/>
      <c r="O25" s="477">
        <f t="shared" si="0"/>
        <v>1</v>
      </c>
      <c r="P25" s="478">
        <f t="shared" si="1"/>
        <v>0</v>
      </c>
      <c r="Q25" s="36">
        <f>'t1'!N25</f>
        <v>1</v>
      </c>
    </row>
    <row r="26" spans="1:17" ht="13.5" customHeight="1">
      <c r="A26" s="155" t="str">
        <f>'t1'!A26</f>
        <v>COADIUTORE TEMPO DET.ANNUALE</v>
      </c>
      <c r="B26" s="229" t="str">
        <f>'t1'!B26</f>
        <v>011124</v>
      </c>
      <c r="C26" s="343">
        <v>2</v>
      </c>
      <c r="D26" s="344">
        <v>1</v>
      </c>
      <c r="E26" s="343"/>
      <c r="F26" s="344">
        <v>1</v>
      </c>
      <c r="G26" s="343"/>
      <c r="H26" s="345"/>
      <c r="I26" s="551"/>
      <c r="J26" s="345"/>
      <c r="K26" s="551"/>
      <c r="L26" s="345"/>
      <c r="M26" s="346"/>
      <c r="N26" s="347"/>
      <c r="O26" s="477">
        <f t="shared" si="0"/>
        <v>2</v>
      </c>
      <c r="P26" s="478">
        <f t="shared" si="1"/>
        <v>2</v>
      </c>
      <c r="Q26" s="36">
        <f>'t1'!N26</f>
        <v>4</v>
      </c>
    </row>
    <row r="27" spans="1:17" ht="13.5" customHeight="1">
      <c r="A27" s="155" t="str">
        <f>'t1'!A27</f>
        <v>COORD. BIBL., COORD. TEC. E AMM. T. DET. TERM. ATTIV DIDATT</v>
      </c>
      <c r="B27" s="229" t="str">
        <f>'t1'!B27</f>
        <v>013DDN</v>
      </c>
      <c r="C27" s="343"/>
      <c r="D27" s="344"/>
      <c r="E27" s="343"/>
      <c r="F27" s="344"/>
      <c r="G27" s="343"/>
      <c r="H27" s="345"/>
      <c r="I27" s="551"/>
      <c r="J27" s="345"/>
      <c r="K27" s="551"/>
      <c r="L27" s="345"/>
      <c r="M27" s="346"/>
      <c r="N27" s="347"/>
      <c r="O27" s="477">
        <f t="shared" si="0"/>
        <v>0</v>
      </c>
      <c r="P27" s="478">
        <f t="shared" si="1"/>
        <v>0</v>
      </c>
      <c r="Q27" s="36">
        <f>'t1'!N27</f>
        <v>0</v>
      </c>
    </row>
    <row r="28" spans="1:17" ht="13.5" customHeight="1">
      <c r="A28" s="155" t="str">
        <f>'t1'!A28</f>
        <v>COLLAB. TEC. AMM. BIBL. E DI LAB. T. D. TERM. ATTIV DIDATT</v>
      </c>
      <c r="B28" s="229" t="str">
        <f>'t1'!B28</f>
        <v>013CDN</v>
      </c>
      <c r="C28" s="343"/>
      <c r="D28" s="344"/>
      <c r="E28" s="343"/>
      <c r="F28" s="344"/>
      <c r="G28" s="343"/>
      <c r="H28" s="345"/>
      <c r="I28" s="551"/>
      <c r="J28" s="345"/>
      <c r="K28" s="551"/>
      <c r="L28" s="345"/>
      <c r="M28" s="346"/>
      <c r="N28" s="347"/>
      <c r="O28" s="477">
        <f t="shared" si="0"/>
        <v>0</v>
      </c>
      <c r="P28" s="478">
        <f t="shared" si="1"/>
        <v>0</v>
      </c>
      <c r="Q28" s="36">
        <f>'t1'!N28</f>
        <v>0</v>
      </c>
    </row>
    <row r="29" spans="1:17" ht="13.5" customHeight="1">
      <c r="A29" s="155" t="str">
        <f>'t1'!A29</f>
        <v>ASSISTENTE AMMINISTRATIVO TEM.DET. TERMINE ATTIV DIDATT</v>
      </c>
      <c r="B29" s="229" t="str">
        <f>'t1'!B29</f>
        <v>016509</v>
      </c>
      <c r="C29" s="343"/>
      <c r="D29" s="344"/>
      <c r="E29" s="343"/>
      <c r="F29" s="344"/>
      <c r="G29" s="343"/>
      <c r="H29" s="345"/>
      <c r="I29" s="551"/>
      <c r="J29" s="345"/>
      <c r="K29" s="551"/>
      <c r="L29" s="345"/>
      <c r="M29" s="346"/>
      <c r="N29" s="347"/>
      <c r="O29" s="477">
        <f t="shared" si="0"/>
        <v>0</v>
      </c>
      <c r="P29" s="478">
        <f t="shared" si="1"/>
        <v>0</v>
      </c>
      <c r="Q29" s="36">
        <f>'t1'!N29</f>
        <v>0</v>
      </c>
    </row>
    <row r="30" spans="1:17" ht="13.5" customHeight="1" thickBot="1">
      <c r="A30" s="155" t="str">
        <f>'t1'!A30</f>
        <v>COADIUTORE TEMPO DET. TERMINE ATTIV DIDATT</v>
      </c>
      <c r="B30" s="229" t="str">
        <f>'t1'!B30</f>
        <v>011CNA</v>
      </c>
      <c r="C30" s="343"/>
      <c r="D30" s="344"/>
      <c r="E30" s="343"/>
      <c r="F30" s="344"/>
      <c r="G30" s="343"/>
      <c r="H30" s="345"/>
      <c r="I30" s="551"/>
      <c r="J30" s="345"/>
      <c r="K30" s="551"/>
      <c r="L30" s="345"/>
      <c r="M30" s="346"/>
      <c r="N30" s="347"/>
      <c r="O30" s="477">
        <f t="shared" si="0"/>
        <v>0</v>
      </c>
      <c r="P30" s="478">
        <f t="shared" si="1"/>
        <v>0</v>
      </c>
      <c r="Q30" s="36">
        <f>'t1'!N30</f>
        <v>0</v>
      </c>
    </row>
    <row r="31" spans="1:16" ht="12" customHeight="1" thickBot="1" thickTop="1">
      <c r="A31" s="42" t="s">
        <v>82</v>
      </c>
      <c r="B31" s="43"/>
      <c r="C31" s="479">
        <f aca="true" t="shared" si="2" ref="C31:P31">SUM(C6:C30)</f>
        <v>4</v>
      </c>
      <c r="D31" s="480">
        <f t="shared" si="2"/>
        <v>3</v>
      </c>
      <c r="E31" s="479">
        <f t="shared" si="2"/>
        <v>7</v>
      </c>
      <c r="F31" s="480">
        <f t="shared" si="2"/>
        <v>9</v>
      </c>
      <c r="G31" s="479">
        <f t="shared" si="2"/>
        <v>5</v>
      </c>
      <c r="H31" s="480">
        <f t="shared" si="2"/>
        <v>1</v>
      </c>
      <c r="I31" s="552">
        <f t="shared" si="2"/>
        <v>19</v>
      </c>
      <c r="J31" s="480">
        <f t="shared" si="2"/>
        <v>13</v>
      </c>
      <c r="K31" s="552">
        <f t="shared" si="2"/>
        <v>0</v>
      </c>
      <c r="L31" s="480">
        <f t="shared" si="2"/>
        <v>0</v>
      </c>
      <c r="M31" s="553">
        <f t="shared" si="2"/>
        <v>0</v>
      </c>
      <c r="N31" s="480">
        <f t="shared" si="2"/>
        <v>0</v>
      </c>
      <c r="O31" s="479">
        <f t="shared" si="2"/>
        <v>35</v>
      </c>
      <c r="P31" s="480">
        <f t="shared" si="2"/>
        <v>26</v>
      </c>
    </row>
    <row r="32" spans="1:20" ht="18" customHeight="1">
      <c r="A32" s="26">
        <f>'t1'!$A$33</f>
      </c>
      <c r="B32" s="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79"/>
      <c r="P32" s="44"/>
      <c r="R32" s="44"/>
      <c r="S32" s="44"/>
      <c r="T32" s="44"/>
    </row>
    <row r="33" spans="1:2" s="5" customFormat="1" ht="11.25">
      <c r="A33" s="26"/>
      <c r="B33" s="7"/>
    </row>
  </sheetData>
  <sheetProtection password="EA98" sheet="1" formatColumns="0" selectLockedCells="1"/>
  <mergeCells count="8">
    <mergeCell ref="M3:P3"/>
    <mergeCell ref="A1:N1"/>
    <mergeCell ref="G4:H4"/>
    <mergeCell ref="I4:J4"/>
    <mergeCell ref="M4:N4"/>
    <mergeCell ref="K4:L4"/>
    <mergeCell ref="C4:D4"/>
    <mergeCell ref="E4:F4"/>
  </mergeCells>
  <conditionalFormatting sqref="A6:P30">
    <cfRule type="expression" priority="2" dxfId="3" stopIfTrue="1">
      <formula>$Q6&gt;0</formula>
    </cfRule>
  </conditionalFormatting>
  <conditionalFormatting sqref="C6:N26">
    <cfRule type="expression" priority="1" dxfId="3" stopIfTrue="1">
      <formula>$Q6&gt;0</formula>
    </cfRule>
  </conditionalFormatting>
  <printOptions horizontalCentered="1" verticalCentered="1"/>
  <pageMargins left="0" right="0" top="0.1968503937007874" bottom="0.15748031496062992" header="0.1968503937007874" footer="0.15748031496062992"/>
  <pageSetup horizontalDpi="600" verticalDpi="6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7"/>
  <dimension ref="A1:AZ33"/>
  <sheetViews>
    <sheetView showGridLines="0" zoomScalePageLayoutView="0" workbookViewId="0" topLeftCell="A1">
      <pane xSplit="2" ySplit="5" topLeftCell="F15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V26" sqref="V26"/>
    </sheetView>
  </sheetViews>
  <sheetFormatPr defaultColWidth="9.33203125" defaultRowHeight="17.25" customHeight="1"/>
  <cols>
    <col min="1" max="1" width="57.83203125" style="5" customWidth="1"/>
    <col min="2" max="2" width="8.66015625" style="7" bestFit="1" customWidth="1"/>
    <col min="3" max="26" width="7.83203125" style="5" customWidth="1"/>
    <col min="27" max="48" width="8.5" style="5" customWidth="1"/>
    <col min="49" max="49" width="15.16015625" style="766" bestFit="1" customWidth="1"/>
    <col min="50" max="51" width="8.66015625" style="5" customWidth="1"/>
    <col min="52" max="52" width="0" style="5" hidden="1" customWidth="1"/>
    <col min="53" max="16384" width="9.33203125" style="5" customWidth="1"/>
  </cols>
  <sheetData>
    <row r="1" spans="1:51" ht="43.5" customHeight="1">
      <c r="A1" s="1195" t="s">
        <v>318</v>
      </c>
      <c r="B1" s="2"/>
      <c r="C1" s="1155" t="str">
        <f>'t1'!A1</f>
        <v>COMPARTO AFAM - anno 2016</v>
      </c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  <c r="P1" s="1155"/>
      <c r="Q1" s="1155"/>
      <c r="R1" s="1155"/>
      <c r="S1" s="1155"/>
      <c r="T1" s="1155"/>
      <c r="U1" s="1155"/>
      <c r="V1" s="1155"/>
      <c r="W1" s="1155"/>
      <c r="Z1" s="320"/>
      <c r="AA1" s="1155" t="str">
        <f>C1</f>
        <v>COMPARTO AFAM - anno 2016</v>
      </c>
      <c r="AB1" s="1155"/>
      <c r="AC1" s="1155"/>
      <c r="AD1" s="1155"/>
      <c r="AE1" s="1155"/>
      <c r="AF1" s="1155"/>
      <c r="AG1" s="1155"/>
      <c r="AH1" s="1155"/>
      <c r="AI1" s="1155"/>
      <c r="AJ1" s="1155"/>
      <c r="AK1" s="1155"/>
      <c r="AL1" s="1155"/>
      <c r="AM1" s="1155"/>
      <c r="AN1" s="1155"/>
      <c r="AO1" s="1155"/>
      <c r="AP1" s="1155"/>
      <c r="AQ1" s="1155"/>
      <c r="AR1" s="1155"/>
      <c r="AS1" s="1155"/>
      <c r="AV1" s="320"/>
      <c r="AY1" s="767"/>
    </row>
    <row r="2" spans="1:48" ht="30" customHeight="1" thickBot="1">
      <c r="A2" s="1196"/>
      <c r="S2" s="1156"/>
      <c r="T2" s="1156"/>
      <c r="U2" s="1156"/>
      <c r="V2" s="1156"/>
      <c r="W2" s="1156"/>
      <c r="X2" s="1156"/>
      <c r="Y2" s="1156"/>
      <c r="Z2" s="1156"/>
      <c r="AO2" s="1156"/>
      <c r="AP2" s="1156"/>
      <c r="AQ2" s="1156"/>
      <c r="AR2" s="1156"/>
      <c r="AS2" s="1156"/>
      <c r="AT2" s="1156"/>
      <c r="AU2" s="1156"/>
      <c r="AV2" s="1156"/>
    </row>
    <row r="3" spans="1:51" ht="12" thickBot="1">
      <c r="A3" s="126"/>
      <c r="B3" s="923" t="s">
        <v>260</v>
      </c>
      <c r="C3" s="127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276"/>
      <c r="Y3" s="276"/>
      <c r="Z3" s="129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7"/>
      <c r="AX3" s="768"/>
      <c r="AY3" s="769"/>
    </row>
    <row r="4" spans="1:51" ht="34.5" thickTop="1">
      <c r="A4" s="27" t="s">
        <v>152</v>
      </c>
      <c r="B4" s="924" t="s">
        <v>119</v>
      </c>
      <c r="C4" s="130" t="s">
        <v>299</v>
      </c>
      <c r="D4" s="131"/>
      <c r="E4" s="132" t="s">
        <v>399</v>
      </c>
      <c r="F4" s="131"/>
      <c r="G4" s="1197" t="s">
        <v>133</v>
      </c>
      <c r="H4" s="1198"/>
      <c r="I4" s="132" t="s">
        <v>134</v>
      </c>
      <c r="J4" s="132"/>
      <c r="K4" s="132" t="s">
        <v>131</v>
      </c>
      <c r="L4" s="132"/>
      <c r="M4" s="132" t="s">
        <v>125</v>
      </c>
      <c r="N4" s="133"/>
      <c r="O4" s="132" t="s">
        <v>300</v>
      </c>
      <c r="P4" s="132"/>
      <c r="Q4" s="132" t="s">
        <v>129</v>
      </c>
      <c r="R4" s="131"/>
      <c r="S4" s="270" t="s">
        <v>124</v>
      </c>
      <c r="T4" s="132"/>
      <c r="U4" s="132" t="s">
        <v>122</v>
      </c>
      <c r="V4" s="135"/>
      <c r="W4" s="132" t="s">
        <v>128</v>
      </c>
      <c r="X4" s="134"/>
      <c r="Y4" s="132" t="s">
        <v>130</v>
      </c>
      <c r="Z4" s="134"/>
      <c r="AA4" s="132" t="s">
        <v>121</v>
      </c>
      <c r="AB4" s="134"/>
      <c r="AC4" s="132" t="s">
        <v>132</v>
      </c>
      <c r="AD4" s="135"/>
      <c r="AE4" s="132" t="s">
        <v>136</v>
      </c>
      <c r="AF4" s="132"/>
      <c r="AG4" s="132" t="s">
        <v>135</v>
      </c>
      <c r="AH4" s="136"/>
      <c r="AI4" s="132" t="s">
        <v>126</v>
      </c>
      <c r="AJ4" s="135"/>
      <c r="AK4" s="132" t="s">
        <v>127</v>
      </c>
      <c r="AL4" s="132"/>
      <c r="AM4" s="132" t="s">
        <v>120</v>
      </c>
      <c r="AN4" s="135"/>
      <c r="AO4" s="132" t="s">
        <v>123</v>
      </c>
      <c r="AP4" s="134"/>
      <c r="AQ4" s="132" t="s">
        <v>301</v>
      </c>
      <c r="AR4" s="134"/>
      <c r="AS4" s="135" t="s">
        <v>302</v>
      </c>
      <c r="AT4" s="130"/>
      <c r="AU4" s="135" t="s">
        <v>82</v>
      </c>
      <c r="AV4" s="136"/>
      <c r="AX4" s="770" t="s">
        <v>576</v>
      </c>
      <c r="AY4" s="771"/>
    </row>
    <row r="5" spans="1:51" s="275" customFormat="1" ht="11.25" thickBot="1">
      <c r="A5" s="922" t="s">
        <v>687</v>
      </c>
      <c r="B5" s="925"/>
      <c r="C5" s="271" t="s">
        <v>80</v>
      </c>
      <c r="D5" s="272" t="s">
        <v>81</v>
      </c>
      <c r="E5" s="271" t="s">
        <v>80</v>
      </c>
      <c r="F5" s="272" t="s">
        <v>81</v>
      </c>
      <c r="G5" s="271" t="s">
        <v>80</v>
      </c>
      <c r="H5" s="272" t="s">
        <v>81</v>
      </c>
      <c r="I5" s="271" t="s">
        <v>80</v>
      </c>
      <c r="J5" s="272" t="s">
        <v>81</v>
      </c>
      <c r="K5" s="271" t="s">
        <v>80</v>
      </c>
      <c r="L5" s="272" t="s">
        <v>81</v>
      </c>
      <c r="M5" s="271" t="s">
        <v>80</v>
      </c>
      <c r="N5" s="273" t="s">
        <v>81</v>
      </c>
      <c r="O5" s="271" t="s">
        <v>80</v>
      </c>
      <c r="P5" s="273" t="s">
        <v>81</v>
      </c>
      <c r="Q5" s="271" t="s">
        <v>80</v>
      </c>
      <c r="R5" s="273" t="s">
        <v>81</v>
      </c>
      <c r="S5" s="271" t="s">
        <v>80</v>
      </c>
      <c r="T5" s="273" t="s">
        <v>81</v>
      </c>
      <c r="U5" s="271" t="s">
        <v>80</v>
      </c>
      <c r="V5" s="273" t="s">
        <v>81</v>
      </c>
      <c r="W5" s="271" t="s">
        <v>80</v>
      </c>
      <c r="X5" s="272" t="s">
        <v>81</v>
      </c>
      <c r="Y5" s="271" t="s">
        <v>80</v>
      </c>
      <c r="Z5" s="272" t="s">
        <v>81</v>
      </c>
      <c r="AA5" s="271" t="s">
        <v>80</v>
      </c>
      <c r="AB5" s="272" t="s">
        <v>81</v>
      </c>
      <c r="AC5" s="271" t="s">
        <v>80</v>
      </c>
      <c r="AD5" s="273" t="s">
        <v>81</v>
      </c>
      <c r="AE5" s="271" t="s">
        <v>80</v>
      </c>
      <c r="AF5" s="273" t="s">
        <v>81</v>
      </c>
      <c r="AG5" s="271" t="s">
        <v>80</v>
      </c>
      <c r="AH5" s="273" t="s">
        <v>81</v>
      </c>
      <c r="AI5" s="271" t="s">
        <v>80</v>
      </c>
      <c r="AJ5" s="273" t="s">
        <v>81</v>
      </c>
      <c r="AK5" s="271" t="s">
        <v>80</v>
      </c>
      <c r="AL5" s="273" t="s">
        <v>81</v>
      </c>
      <c r="AM5" s="271" t="s">
        <v>80</v>
      </c>
      <c r="AN5" s="273" t="s">
        <v>81</v>
      </c>
      <c r="AO5" s="271" t="s">
        <v>80</v>
      </c>
      <c r="AP5" s="272" t="s">
        <v>81</v>
      </c>
      <c r="AQ5" s="271" t="s">
        <v>80</v>
      </c>
      <c r="AR5" s="272" t="s">
        <v>81</v>
      </c>
      <c r="AS5" s="274" t="s">
        <v>80</v>
      </c>
      <c r="AT5" s="272" t="s">
        <v>81</v>
      </c>
      <c r="AU5" s="274" t="s">
        <v>80</v>
      </c>
      <c r="AV5" s="273" t="s">
        <v>81</v>
      </c>
      <c r="AW5" s="772"/>
      <c r="AX5" s="773" t="s">
        <v>80</v>
      </c>
      <c r="AY5" s="774" t="s">
        <v>81</v>
      </c>
    </row>
    <row r="6" spans="1:52" ht="12.75" customHeight="1" thickTop="1">
      <c r="A6" s="25" t="str">
        <f>'t1'!A6</f>
        <v>DIRIGENTE SCOLASTICO</v>
      </c>
      <c r="B6" s="236" t="str">
        <f>'t1'!B6</f>
        <v>0D0158</v>
      </c>
      <c r="C6" s="739"/>
      <c r="D6" s="740"/>
      <c r="E6" s="739"/>
      <c r="F6" s="740"/>
      <c r="G6" s="739"/>
      <c r="H6" s="740"/>
      <c r="I6" s="739"/>
      <c r="J6" s="740"/>
      <c r="K6" s="739"/>
      <c r="L6" s="740"/>
      <c r="M6" s="739"/>
      <c r="N6" s="740"/>
      <c r="O6" s="739"/>
      <c r="P6" s="740"/>
      <c r="Q6" s="739"/>
      <c r="R6" s="740"/>
      <c r="S6" s="739"/>
      <c r="T6" s="740"/>
      <c r="U6" s="739"/>
      <c r="V6" s="740"/>
      <c r="W6" s="739"/>
      <c r="X6" s="740"/>
      <c r="Y6" s="739"/>
      <c r="Z6" s="740"/>
      <c r="AA6" s="739"/>
      <c r="AB6" s="740"/>
      <c r="AC6" s="739"/>
      <c r="AD6" s="740"/>
      <c r="AE6" s="739"/>
      <c r="AF6" s="740"/>
      <c r="AG6" s="739"/>
      <c r="AH6" s="740"/>
      <c r="AI6" s="739"/>
      <c r="AJ6" s="740"/>
      <c r="AK6" s="739"/>
      <c r="AL6" s="740"/>
      <c r="AM6" s="739"/>
      <c r="AN6" s="740"/>
      <c r="AO6" s="739"/>
      <c r="AP6" s="740"/>
      <c r="AQ6" s="739"/>
      <c r="AR6" s="740"/>
      <c r="AS6" s="739"/>
      <c r="AT6" s="740"/>
      <c r="AU6" s="481">
        <f>SUM(S6,U6,W6,Y6,C6,E6,G6,I6,K6,M6,O6,Q6,AA6,AC6,AE6,AG6,AI6,AK6,AM6,AO6,AQ6,AS6)</f>
        <v>0</v>
      </c>
      <c r="AV6" s="482">
        <f>SUM(T6,V6,X6,Z6,D6,F6,H6,J6,L6,N6,P6,R6,AB6,AD6,AF6,AH6,AJ6,AL6,AN6,AP6,AR6,AT6)</f>
        <v>0</v>
      </c>
      <c r="AW6" s="775" t="str">
        <f>IF((AU6+AV6)=(AX6+AY6),"OK","Controllare totale")</f>
        <v>OK</v>
      </c>
      <c r="AX6" s="776">
        <f>'t1'!L6-'t3'!C6-'t3'!E6-'t3'!G6-'t3'!I6-'t3'!K6+'t3'!M6+'t3'!O6+'t3'!Q6</f>
        <v>0</v>
      </c>
      <c r="AY6" s="777">
        <f>'t1'!M6-'t3'!D6-'t3'!F6-'t3'!H6-'t3'!J6-'t3'!L6+'t3'!N6+'t3'!P6+'t3'!R6</f>
        <v>0</v>
      </c>
      <c r="AZ6" s="5">
        <f>'t1'!N6</f>
        <v>0</v>
      </c>
    </row>
    <row r="7" spans="1:52" ht="12.75" customHeight="1">
      <c r="A7" s="24" t="str">
        <f>'t1'!A7</f>
        <v>PROFESSORI DI PRIMA FASCIA</v>
      </c>
      <c r="B7" s="154" t="str">
        <f>'t1'!B7</f>
        <v>018P01</v>
      </c>
      <c r="C7" s="741"/>
      <c r="D7" s="256"/>
      <c r="E7" s="741"/>
      <c r="F7" s="256"/>
      <c r="G7" s="741"/>
      <c r="H7" s="256"/>
      <c r="I7" s="741"/>
      <c r="J7" s="256"/>
      <c r="K7" s="741"/>
      <c r="L7" s="256"/>
      <c r="M7" s="741"/>
      <c r="N7" s="256"/>
      <c r="O7" s="741"/>
      <c r="P7" s="256"/>
      <c r="Q7" s="741"/>
      <c r="R7" s="256"/>
      <c r="S7" s="741"/>
      <c r="T7" s="256"/>
      <c r="U7" s="741"/>
      <c r="V7" s="256"/>
      <c r="W7" s="741">
        <v>5</v>
      </c>
      <c r="X7" s="256">
        <v>4</v>
      </c>
      <c r="Y7" s="741"/>
      <c r="Z7" s="256"/>
      <c r="AA7" s="741"/>
      <c r="AB7" s="256"/>
      <c r="AC7" s="741"/>
      <c r="AD7" s="256"/>
      <c r="AE7" s="741"/>
      <c r="AF7" s="256"/>
      <c r="AG7" s="741"/>
      <c r="AH7" s="256"/>
      <c r="AI7" s="741"/>
      <c r="AJ7" s="256"/>
      <c r="AK7" s="741"/>
      <c r="AL7" s="256"/>
      <c r="AM7" s="741"/>
      <c r="AN7" s="256"/>
      <c r="AO7" s="741"/>
      <c r="AP7" s="256"/>
      <c r="AQ7" s="741"/>
      <c r="AR7" s="256"/>
      <c r="AS7" s="741"/>
      <c r="AT7" s="256"/>
      <c r="AU7" s="483">
        <f>SUM(S7,U7,W7,Y7,C7,E7,G7,I7,K7,M7,O7,Q7,AA7,AC7,AE7,AG7,AI7,AK7,AM7,AO7,AQ7,AS7)</f>
        <v>5</v>
      </c>
      <c r="AV7" s="484">
        <f aca="true" t="shared" si="0" ref="AV7:AV30">SUM(T7,V7,X7,Z7,D7,F7,H7,J7,L7,N7,P7,R7,AB7,AD7,AF7,AH7,AJ7,AL7,AN7,AP7,AR7,AT7)</f>
        <v>4</v>
      </c>
      <c r="AW7" s="775" t="str">
        <f aca="true" t="shared" si="1" ref="AW7:AW30">IF((AU7+AV7)=(AX7+AY7),"OK","Controllare totale")</f>
        <v>OK</v>
      </c>
      <c r="AX7" s="778">
        <f>'t1'!L7-'t3'!C7-'t3'!E7-'t3'!G7-'t3'!I7-'t3'!K7+'t3'!M7+'t3'!O7+'t3'!Q7</f>
        <v>5</v>
      </c>
      <c r="AY7" s="779">
        <f>'t1'!M7-'t3'!D7-'t3'!F7-'t3'!H7-'t3'!J7-'t3'!L7+'t3'!N7+'t3'!P7+'t3'!R7</f>
        <v>4</v>
      </c>
      <c r="AZ7" s="5">
        <f>'t1'!N7</f>
        <v>9</v>
      </c>
    </row>
    <row r="8" spans="1:52" ht="12.75" customHeight="1">
      <c r="A8" s="24" t="str">
        <f>'t1'!A8</f>
        <v>PROFESSORI DI SECONDA FASCIA</v>
      </c>
      <c r="B8" s="154" t="str">
        <f>'t1'!B8</f>
        <v>016P02</v>
      </c>
      <c r="C8" s="741"/>
      <c r="D8" s="256"/>
      <c r="E8" s="741"/>
      <c r="F8" s="256"/>
      <c r="G8" s="741"/>
      <c r="H8" s="256"/>
      <c r="I8" s="741"/>
      <c r="J8" s="256"/>
      <c r="K8" s="741"/>
      <c r="L8" s="256"/>
      <c r="M8" s="741"/>
      <c r="N8" s="256"/>
      <c r="O8" s="741"/>
      <c r="P8" s="256"/>
      <c r="Q8" s="741"/>
      <c r="R8" s="256"/>
      <c r="S8" s="741"/>
      <c r="T8" s="256"/>
      <c r="U8" s="741"/>
      <c r="V8" s="256"/>
      <c r="W8" s="741">
        <v>2</v>
      </c>
      <c r="X8" s="256">
        <v>5</v>
      </c>
      <c r="Y8" s="741"/>
      <c r="Z8" s="256"/>
      <c r="AA8" s="741"/>
      <c r="AB8" s="256"/>
      <c r="AC8" s="741"/>
      <c r="AD8" s="256"/>
      <c r="AE8" s="741"/>
      <c r="AF8" s="256"/>
      <c r="AG8" s="741"/>
      <c r="AH8" s="256"/>
      <c r="AI8" s="741"/>
      <c r="AJ8" s="256"/>
      <c r="AK8" s="741"/>
      <c r="AL8" s="256"/>
      <c r="AM8" s="741"/>
      <c r="AN8" s="256"/>
      <c r="AO8" s="741"/>
      <c r="AP8" s="256"/>
      <c r="AQ8" s="741"/>
      <c r="AR8" s="256"/>
      <c r="AS8" s="741"/>
      <c r="AT8" s="256"/>
      <c r="AU8" s="483">
        <f aca="true" t="shared" si="2" ref="AU8:AU30">SUM(S8,U8,W8,Y8,C8,E8,G8,I8,K8,M8,O8,Q8,AA8,AC8,AE8,AG8,AI8,AK8,AM8,AO8,AQ8,AS8)</f>
        <v>2</v>
      </c>
      <c r="AV8" s="484">
        <f t="shared" si="0"/>
        <v>5</v>
      </c>
      <c r="AW8" s="775" t="str">
        <f t="shared" si="1"/>
        <v>OK</v>
      </c>
      <c r="AX8" s="778">
        <f>'t1'!L8-'t3'!C8-'t3'!E8-'t3'!G8-'t3'!I8-'t3'!K8+'t3'!M8+'t3'!O8+'t3'!Q8</f>
        <v>2</v>
      </c>
      <c r="AY8" s="779">
        <f>'t1'!M8-'t3'!D8-'t3'!F8-'t3'!H8-'t3'!J8-'t3'!L8+'t3'!N8+'t3'!P8+'t3'!R8</f>
        <v>5</v>
      </c>
      <c r="AZ8" s="5">
        <f>'t1'!N8</f>
        <v>7</v>
      </c>
    </row>
    <row r="9" spans="1:52" ht="12.75" customHeight="1">
      <c r="A9" s="24" t="str">
        <f>'t1'!A9</f>
        <v>DIRETTORE AMMINISTRATIVO EP2</v>
      </c>
      <c r="B9" s="154" t="str">
        <f>'t1'!B9</f>
        <v>013504</v>
      </c>
      <c r="C9" s="741"/>
      <c r="D9" s="256"/>
      <c r="E9" s="741"/>
      <c r="F9" s="256"/>
      <c r="G9" s="741"/>
      <c r="H9" s="256"/>
      <c r="I9" s="741"/>
      <c r="J9" s="256"/>
      <c r="K9" s="741"/>
      <c r="L9" s="256"/>
      <c r="M9" s="741"/>
      <c r="N9" s="256"/>
      <c r="O9" s="741"/>
      <c r="P9" s="256"/>
      <c r="Q9" s="741"/>
      <c r="R9" s="256"/>
      <c r="S9" s="741"/>
      <c r="T9" s="256"/>
      <c r="U9" s="741"/>
      <c r="V9" s="256"/>
      <c r="W9" s="741"/>
      <c r="X9" s="256">
        <v>1</v>
      </c>
      <c r="Y9" s="741"/>
      <c r="Z9" s="256"/>
      <c r="AA9" s="741"/>
      <c r="AB9" s="256"/>
      <c r="AC9" s="741"/>
      <c r="AD9" s="256"/>
      <c r="AE9" s="741"/>
      <c r="AF9" s="256"/>
      <c r="AG9" s="741"/>
      <c r="AH9" s="256"/>
      <c r="AI9" s="741"/>
      <c r="AJ9" s="256"/>
      <c r="AK9" s="741"/>
      <c r="AL9" s="256"/>
      <c r="AM9" s="741"/>
      <c r="AN9" s="256"/>
      <c r="AO9" s="741"/>
      <c r="AP9" s="256"/>
      <c r="AQ9" s="741"/>
      <c r="AR9" s="256"/>
      <c r="AS9" s="741"/>
      <c r="AT9" s="256"/>
      <c r="AU9" s="483">
        <f t="shared" si="2"/>
        <v>0</v>
      </c>
      <c r="AV9" s="484">
        <f t="shared" si="0"/>
        <v>1</v>
      </c>
      <c r="AW9" s="775" t="str">
        <f t="shared" si="1"/>
        <v>OK</v>
      </c>
      <c r="AX9" s="778">
        <f>'t1'!L9-'t3'!C9-'t3'!E9-'t3'!G9-'t3'!I9-'t3'!K9+'t3'!M9+'t3'!O9+'t3'!Q9</f>
        <v>0</v>
      </c>
      <c r="AY9" s="779">
        <f>'t1'!M9-'t3'!D9-'t3'!F9-'t3'!H9-'t3'!J9-'t3'!L9+'t3'!N9+'t3'!P9+'t3'!R9</f>
        <v>1</v>
      </c>
      <c r="AZ9" s="5">
        <f>'t1'!N9</f>
        <v>1</v>
      </c>
    </row>
    <row r="10" spans="1:52" ht="12.75" customHeight="1">
      <c r="A10" s="24" t="str">
        <f>'t1'!A10</f>
        <v>DIRETTORE DELL UFFICIO DI RAGIONERIA (EP1)</v>
      </c>
      <c r="B10" s="154" t="str">
        <f>'t1'!B10</f>
        <v>013159</v>
      </c>
      <c r="C10" s="741"/>
      <c r="D10" s="256"/>
      <c r="E10" s="741"/>
      <c r="F10" s="256"/>
      <c r="G10" s="741"/>
      <c r="H10" s="256"/>
      <c r="I10" s="741"/>
      <c r="J10" s="256"/>
      <c r="K10" s="741"/>
      <c r="L10" s="256"/>
      <c r="M10" s="741"/>
      <c r="N10" s="256"/>
      <c r="O10" s="741"/>
      <c r="P10" s="256"/>
      <c r="Q10" s="741"/>
      <c r="R10" s="256"/>
      <c r="S10" s="741"/>
      <c r="T10" s="256"/>
      <c r="U10" s="741"/>
      <c r="V10" s="256"/>
      <c r="W10" s="741"/>
      <c r="X10" s="256">
        <v>1</v>
      </c>
      <c r="Y10" s="741"/>
      <c r="Z10" s="256"/>
      <c r="AA10" s="741"/>
      <c r="AB10" s="256"/>
      <c r="AC10" s="741"/>
      <c r="AD10" s="256"/>
      <c r="AE10" s="741"/>
      <c r="AF10" s="256"/>
      <c r="AG10" s="741"/>
      <c r="AH10" s="256"/>
      <c r="AI10" s="741"/>
      <c r="AJ10" s="256"/>
      <c r="AK10" s="741"/>
      <c r="AL10" s="256"/>
      <c r="AM10" s="741"/>
      <c r="AN10" s="256"/>
      <c r="AO10" s="741"/>
      <c r="AP10" s="256"/>
      <c r="AQ10" s="741"/>
      <c r="AR10" s="256"/>
      <c r="AS10" s="741"/>
      <c r="AT10" s="256"/>
      <c r="AU10" s="483">
        <f t="shared" si="2"/>
        <v>0</v>
      </c>
      <c r="AV10" s="484">
        <f t="shared" si="0"/>
        <v>1</v>
      </c>
      <c r="AW10" s="775" t="str">
        <f t="shared" si="1"/>
        <v>OK</v>
      </c>
      <c r="AX10" s="778">
        <f>'t1'!L10-'t3'!C10-'t3'!E10-'t3'!G10-'t3'!I10-'t3'!K10+'t3'!M10+'t3'!O10+'t3'!Q10</f>
        <v>0</v>
      </c>
      <c r="AY10" s="779">
        <f>'t1'!M10-'t3'!D10-'t3'!F10-'t3'!H10-'t3'!J10-'t3'!L10+'t3'!N10+'t3'!P10+'t3'!R10</f>
        <v>1</v>
      </c>
      <c r="AZ10" s="5">
        <f>'t1'!N10</f>
        <v>1</v>
      </c>
    </row>
    <row r="11" spans="1:52" ht="12.75" customHeight="1">
      <c r="A11" s="24" t="str">
        <f>'t1'!A11</f>
        <v>COORDINATORE DI BIBLIOTECA TECNICO E AMMINISTRATIVO(D)</v>
      </c>
      <c r="B11" s="154" t="str">
        <f>'t1'!B11</f>
        <v>013DTE</v>
      </c>
      <c r="C11" s="741"/>
      <c r="D11" s="256"/>
      <c r="E11" s="741"/>
      <c r="F11" s="256"/>
      <c r="G11" s="741"/>
      <c r="H11" s="256"/>
      <c r="I11" s="741"/>
      <c r="J11" s="256"/>
      <c r="K11" s="741"/>
      <c r="L11" s="256"/>
      <c r="M11" s="741"/>
      <c r="N11" s="256"/>
      <c r="O11" s="741"/>
      <c r="P11" s="256"/>
      <c r="Q11" s="741"/>
      <c r="R11" s="256"/>
      <c r="S11" s="741"/>
      <c r="T11" s="256"/>
      <c r="U11" s="741"/>
      <c r="V11" s="256"/>
      <c r="W11" s="741"/>
      <c r="X11" s="256"/>
      <c r="Y11" s="741"/>
      <c r="Z11" s="256"/>
      <c r="AA11" s="741"/>
      <c r="AB11" s="256"/>
      <c r="AC11" s="741"/>
      <c r="AD11" s="256"/>
      <c r="AE11" s="741"/>
      <c r="AF11" s="256"/>
      <c r="AG11" s="741"/>
      <c r="AH11" s="256"/>
      <c r="AI11" s="741"/>
      <c r="AJ11" s="256"/>
      <c r="AK11" s="741"/>
      <c r="AL11" s="256"/>
      <c r="AM11" s="741"/>
      <c r="AN11" s="256"/>
      <c r="AO11" s="741"/>
      <c r="AP11" s="256"/>
      <c r="AQ11" s="741"/>
      <c r="AR11" s="256"/>
      <c r="AS11" s="741"/>
      <c r="AT11" s="256"/>
      <c r="AU11" s="483">
        <f t="shared" si="2"/>
        <v>0</v>
      </c>
      <c r="AV11" s="484">
        <f t="shared" si="0"/>
        <v>0</v>
      </c>
      <c r="AW11" s="775" t="str">
        <f t="shared" si="1"/>
        <v>OK</v>
      </c>
      <c r="AX11" s="778">
        <f>'t1'!L11-'t3'!C11-'t3'!E11-'t3'!G11-'t3'!I11-'t3'!K11+'t3'!M11+'t3'!O11+'t3'!Q11</f>
        <v>0</v>
      </c>
      <c r="AY11" s="779">
        <f>'t1'!M11-'t3'!D11-'t3'!F11-'t3'!H11-'t3'!J11-'t3'!L11+'t3'!N11+'t3'!P11+'t3'!R11</f>
        <v>0</v>
      </c>
      <c r="AZ11" s="5">
        <f>'t1'!N11</f>
        <v>0</v>
      </c>
    </row>
    <row r="12" spans="1:52" ht="12.75" customHeight="1">
      <c r="A12" s="24" t="str">
        <f>'t1'!A12</f>
        <v>COLLABORATORE TEC. AMMIN. DI BIBLIOT. E DI LAB. (C)</v>
      </c>
      <c r="B12" s="154" t="str">
        <f>'t1'!B12</f>
        <v>013CTE</v>
      </c>
      <c r="C12" s="741"/>
      <c r="D12" s="256"/>
      <c r="E12" s="741"/>
      <c r="F12" s="256"/>
      <c r="G12" s="741"/>
      <c r="H12" s="256"/>
      <c r="I12" s="741"/>
      <c r="J12" s="256"/>
      <c r="K12" s="741"/>
      <c r="L12" s="256"/>
      <c r="M12" s="741"/>
      <c r="N12" s="256"/>
      <c r="O12" s="741"/>
      <c r="P12" s="256"/>
      <c r="Q12" s="741"/>
      <c r="R12" s="256"/>
      <c r="S12" s="741"/>
      <c r="T12" s="256"/>
      <c r="U12" s="741"/>
      <c r="V12" s="256"/>
      <c r="W12" s="741"/>
      <c r="X12" s="256"/>
      <c r="Y12" s="741"/>
      <c r="Z12" s="256"/>
      <c r="AA12" s="741"/>
      <c r="AB12" s="256"/>
      <c r="AC12" s="741"/>
      <c r="AD12" s="256"/>
      <c r="AE12" s="741"/>
      <c r="AF12" s="256"/>
      <c r="AG12" s="741"/>
      <c r="AH12" s="256"/>
      <c r="AI12" s="741"/>
      <c r="AJ12" s="256"/>
      <c r="AK12" s="741"/>
      <c r="AL12" s="256"/>
      <c r="AM12" s="741"/>
      <c r="AN12" s="256"/>
      <c r="AO12" s="741"/>
      <c r="AP12" s="256"/>
      <c r="AQ12" s="741"/>
      <c r="AR12" s="256"/>
      <c r="AS12" s="741"/>
      <c r="AT12" s="256"/>
      <c r="AU12" s="483">
        <f t="shared" si="2"/>
        <v>0</v>
      </c>
      <c r="AV12" s="484">
        <f t="shared" si="0"/>
        <v>0</v>
      </c>
      <c r="AW12" s="775" t="str">
        <f t="shared" si="1"/>
        <v>OK</v>
      </c>
      <c r="AX12" s="778">
        <f>'t1'!L12-'t3'!C12-'t3'!E12-'t3'!G12-'t3'!I12-'t3'!K12+'t3'!M12+'t3'!O12+'t3'!Q12</f>
        <v>0</v>
      </c>
      <c r="AY12" s="779">
        <f>'t1'!M12-'t3'!D12-'t3'!F12-'t3'!H12-'t3'!J12-'t3'!L12+'t3'!N12+'t3'!P12+'t3'!R12</f>
        <v>0</v>
      </c>
      <c r="AZ12" s="5">
        <f>'t1'!N12</f>
        <v>0</v>
      </c>
    </row>
    <row r="13" spans="1:52" ht="12.75" customHeight="1">
      <c r="A13" s="24" t="str">
        <f>'t1'!A13</f>
        <v>ASSISTENTE AMMINISTRATIVO (B)</v>
      </c>
      <c r="B13" s="154" t="str">
        <f>'t1'!B13</f>
        <v>012117</v>
      </c>
      <c r="C13" s="741"/>
      <c r="D13" s="256"/>
      <c r="E13" s="741"/>
      <c r="F13" s="256"/>
      <c r="G13" s="741"/>
      <c r="H13" s="256"/>
      <c r="I13" s="741"/>
      <c r="J13" s="256"/>
      <c r="K13" s="741"/>
      <c r="L13" s="256"/>
      <c r="M13" s="741"/>
      <c r="N13" s="256"/>
      <c r="O13" s="741"/>
      <c r="P13" s="256"/>
      <c r="Q13" s="741"/>
      <c r="R13" s="256"/>
      <c r="S13" s="741"/>
      <c r="T13" s="256"/>
      <c r="U13" s="741"/>
      <c r="V13" s="256"/>
      <c r="W13" s="741">
        <v>1</v>
      </c>
      <c r="X13" s="256">
        <v>3</v>
      </c>
      <c r="Y13" s="741"/>
      <c r="Z13" s="256"/>
      <c r="AA13" s="741"/>
      <c r="AB13" s="256"/>
      <c r="AC13" s="741"/>
      <c r="AD13" s="256"/>
      <c r="AE13" s="741"/>
      <c r="AF13" s="256"/>
      <c r="AG13" s="741"/>
      <c r="AH13" s="256"/>
      <c r="AI13" s="741"/>
      <c r="AJ13" s="256"/>
      <c r="AK13" s="741"/>
      <c r="AL13" s="256"/>
      <c r="AM13" s="741"/>
      <c r="AN13" s="256"/>
      <c r="AO13" s="741"/>
      <c r="AP13" s="256"/>
      <c r="AQ13" s="741"/>
      <c r="AR13" s="256"/>
      <c r="AS13" s="741"/>
      <c r="AT13" s="256"/>
      <c r="AU13" s="483">
        <f t="shared" si="2"/>
        <v>1</v>
      </c>
      <c r="AV13" s="484">
        <f t="shared" si="0"/>
        <v>3</v>
      </c>
      <c r="AW13" s="775" t="str">
        <f t="shared" si="1"/>
        <v>OK</v>
      </c>
      <c r="AX13" s="778">
        <f>'t1'!L13-'t3'!C13-'t3'!E13-'t3'!G13-'t3'!I13-'t3'!K13+'t3'!M13+'t3'!O13+'t3'!Q13</f>
        <v>1</v>
      </c>
      <c r="AY13" s="779">
        <f>'t1'!M13-'t3'!D13-'t3'!F13-'t3'!H13-'t3'!J13-'t3'!L13+'t3'!N13+'t3'!P13+'t3'!R13</f>
        <v>3</v>
      </c>
      <c r="AZ13" s="5">
        <f>'t1'!N13</f>
        <v>4</v>
      </c>
    </row>
    <row r="14" spans="1:52" ht="12.75" customHeight="1">
      <c r="A14" s="24" t="str">
        <f>'t1'!A14</f>
        <v>COADIUTORE (A)</v>
      </c>
      <c r="B14" s="154" t="str">
        <f>'t1'!B14</f>
        <v>011121</v>
      </c>
      <c r="C14" s="741"/>
      <c r="D14" s="256"/>
      <c r="E14" s="741"/>
      <c r="F14" s="256"/>
      <c r="G14" s="741"/>
      <c r="H14" s="256"/>
      <c r="I14" s="741"/>
      <c r="J14" s="256"/>
      <c r="K14" s="741"/>
      <c r="L14" s="256"/>
      <c r="M14" s="741"/>
      <c r="N14" s="256"/>
      <c r="O14" s="741"/>
      <c r="P14" s="256"/>
      <c r="Q14" s="741"/>
      <c r="R14" s="256"/>
      <c r="S14" s="741"/>
      <c r="T14" s="256"/>
      <c r="U14" s="741"/>
      <c r="V14" s="256"/>
      <c r="W14" s="741">
        <v>3</v>
      </c>
      <c r="X14" s="256">
        <v>3</v>
      </c>
      <c r="Y14" s="741"/>
      <c r="Z14" s="256"/>
      <c r="AA14" s="741"/>
      <c r="AB14" s="256"/>
      <c r="AC14" s="741"/>
      <c r="AD14" s="256"/>
      <c r="AE14" s="741"/>
      <c r="AF14" s="256"/>
      <c r="AG14" s="741"/>
      <c r="AH14" s="256"/>
      <c r="AI14" s="741"/>
      <c r="AJ14" s="256"/>
      <c r="AK14" s="741"/>
      <c r="AL14" s="256"/>
      <c r="AM14" s="741"/>
      <c r="AN14" s="256"/>
      <c r="AO14" s="741"/>
      <c r="AP14" s="256"/>
      <c r="AQ14" s="741"/>
      <c r="AR14" s="256"/>
      <c r="AS14" s="741"/>
      <c r="AT14" s="256"/>
      <c r="AU14" s="483">
        <f t="shared" si="2"/>
        <v>3</v>
      </c>
      <c r="AV14" s="484">
        <f t="shared" si="0"/>
        <v>3</v>
      </c>
      <c r="AW14" s="775" t="str">
        <f t="shared" si="1"/>
        <v>OK</v>
      </c>
      <c r="AX14" s="778">
        <f>'t1'!L14-'t3'!C14-'t3'!E14-'t3'!G14-'t3'!I14-'t3'!K14+'t3'!M14+'t3'!O14+'t3'!Q14</f>
        <v>3</v>
      </c>
      <c r="AY14" s="779">
        <f>'t1'!M14-'t3'!D14-'t3'!F14-'t3'!H14-'t3'!J14-'t3'!L14+'t3'!N14+'t3'!P14+'t3'!R14</f>
        <v>3</v>
      </c>
      <c r="AZ14" s="5">
        <f>'t1'!N14</f>
        <v>6</v>
      </c>
    </row>
    <row r="15" spans="1:52" ht="12.75" customHeight="1">
      <c r="A15" s="24" t="str">
        <f>'t1'!A15</f>
        <v>PROFESSORI DI PRIMA FASCIA TEMPO DET.ANNUALE</v>
      </c>
      <c r="B15" s="154" t="str">
        <f>'t1'!B15</f>
        <v>018PD1</v>
      </c>
      <c r="C15" s="741"/>
      <c r="D15" s="256"/>
      <c r="E15" s="741"/>
      <c r="F15" s="256"/>
      <c r="G15" s="741"/>
      <c r="H15" s="256"/>
      <c r="I15" s="741"/>
      <c r="J15" s="256"/>
      <c r="K15" s="741"/>
      <c r="L15" s="256"/>
      <c r="M15" s="741"/>
      <c r="N15" s="256"/>
      <c r="O15" s="741"/>
      <c r="P15" s="256"/>
      <c r="Q15" s="741"/>
      <c r="R15" s="256"/>
      <c r="S15" s="741"/>
      <c r="T15" s="256"/>
      <c r="U15" s="741"/>
      <c r="V15" s="256"/>
      <c r="W15" s="741">
        <v>17</v>
      </c>
      <c r="X15" s="256">
        <v>5</v>
      </c>
      <c r="Y15" s="741"/>
      <c r="Z15" s="256"/>
      <c r="AA15" s="741"/>
      <c r="AB15" s="256"/>
      <c r="AC15" s="741"/>
      <c r="AD15" s="256"/>
      <c r="AE15" s="741"/>
      <c r="AF15" s="256"/>
      <c r="AG15" s="741"/>
      <c r="AH15" s="256"/>
      <c r="AI15" s="741"/>
      <c r="AJ15" s="256"/>
      <c r="AK15" s="741"/>
      <c r="AL15" s="256"/>
      <c r="AM15" s="741"/>
      <c r="AN15" s="256"/>
      <c r="AO15" s="741"/>
      <c r="AP15" s="256"/>
      <c r="AQ15" s="741"/>
      <c r="AR15" s="256"/>
      <c r="AS15" s="741"/>
      <c r="AT15" s="256"/>
      <c r="AU15" s="483">
        <f t="shared" si="2"/>
        <v>17</v>
      </c>
      <c r="AV15" s="484">
        <f t="shared" si="0"/>
        <v>5</v>
      </c>
      <c r="AW15" s="775" t="str">
        <f t="shared" si="1"/>
        <v>OK</v>
      </c>
      <c r="AX15" s="778">
        <f>'t1'!L15-'t3'!C15-'t3'!E15-'t3'!G15-'t3'!I15-'t3'!K15+'t3'!M15+'t3'!O15+'t3'!Q15</f>
        <v>17</v>
      </c>
      <c r="AY15" s="779">
        <f>'t1'!M15-'t3'!D15-'t3'!F15-'t3'!H15-'t3'!J15-'t3'!L15+'t3'!N15+'t3'!P15+'t3'!R15</f>
        <v>5</v>
      </c>
      <c r="AZ15" s="5">
        <f>'t1'!N15</f>
        <v>22</v>
      </c>
    </row>
    <row r="16" spans="1:52" ht="12.75" customHeight="1">
      <c r="A16" s="24" t="str">
        <f>'t1'!A16</f>
        <v>PROFESSORI DI SECONDA FASCIA TEMPO DET.ANNUALE</v>
      </c>
      <c r="B16" s="154" t="str">
        <f>'t1'!B16</f>
        <v>016PD2</v>
      </c>
      <c r="C16" s="741"/>
      <c r="D16" s="256"/>
      <c r="E16" s="741"/>
      <c r="F16" s="256"/>
      <c r="G16" s="741"/>
      <c r="H16" s="256"/>
      <c r="I16" s="741"/>
      <c r="J16" s="256"/>
      <c r="K16" s="741"/>
      <c r="L16" s="256"/>
      <c r="M16" s="741"/>
      <c r="N16" s="256"/>
      <c r="O16" s="741"/>
      <c r="P16" s="256"/>
      <c r="Q16" s="741"/>
      <c r="R16" s="256"/>
      <c r="S16" s="741"/>
      <c r="T16" s="256"/>
      <c r="U16" s="741"/>
      <c r="V16" s="256"/>
      <c r="W16" s="741">
        <v>4</v>
      </c>
      <c r="X16" s="256">
        <v>2</v>
      </c>
      <c r="Y16" s="741"/>
      <c r="Z16" s="256"/>
      <c r="AA16" s="741"/>
      <c r="AB16" s="256"/>
      <c r="AC16" s="741"/>
      <c r="AD16" s="256"/>
      <c r="AE16" s="741"/>
      <c r="AF16" s="256"/>
      <c r="AG16" s="741"/>
      <c r="AH16" s="256"/>
      <c r="AI16" s="741"/>
      <c r="AJ16" s="256"/>
      <c r="AK16" s="741"/>
      <c r="AL16" s="256"/>
      <c r="AM16" s="741"/>
      <c r="AN16" s="256"/>
      <c r="AO16" s="741"/>
      <c r="AP16" s="256"/>
      <c r="AQ16" s="741"/>
      <c r="AR16" s="256"/>
      <c r="AS16" s="741"/>
      <c r="AT16" s="256"/>
      <c r="AU16" s="483">
        <f t="shared" si="2"/>
        <v>4</v>
      </c>
      <c r="AV16" s="484">
        <f t="shared" si="0"/>
        <v>2</v>
      </c>
      <c r="AW16" s="775" t="str">
        <f t="shared" si="1"/>
        <v>OK</v>
      </c>
      <c r="AX16" s="778">
        <f>'t1'!L16-'t3'!C16-'t3'!E16-'t3'!G16-'t3'!I16-'t3'!K16+'t3'!M16+'t3'!O16+'t3'!Q16</f>
        <v>4</v>
      </c>
      <c r="AY16" s="779">
        <f>'t1'!M16-'t3'!D16-'t3'!F16-'t3'!H16-'t3'!J16-'t3'!L16+'t3'!N16+'t3'!P16+'t3'!R16</f>
        <v>2</v>
      </c>
      <c r="AZ16" s="5">
        <f>'t1'!N16</f>
        <v>6</v>
      </c>
    </row>
    <row r="17" spans="1:52" ht="12.75" customHeight="1">
      <c r="A17" s="24" t="str">
        <f>'t1'!A17</f>
        <v>PROFESSORI DI PRIMA FASCIA T. DET. TERMINE ATTIV DIDATT</v>
      </c>
      <c r="B17" s="154" t="str">
        <f>'t1'!B17</f>
        <v>018DD1</v>
      </c>
      <c r="C17" s="741"/>
      <c r="D17" s="256"/>
      <c r="E17" s="741"/>
      <c r="F17" s="256"/>
      <c r="G17" s="741"/>
      <c r="H17" s="256"/>
      <c r="I17" s="741"/>
      <c r="J17" s="256"/>
      <c r="K17" s="741"/>
      <c r="L17" s="256"/>
      <c r="M17" s="741"/>
      <c r="N17" s="256"/>
      <c r="O17" s="741"/>
      <c r="P17" s="256"/>
      <c r="Q17" s="741"/>
      <c r="R17" s="256"/>
      <c r="S17" s="741"/>
      <c r="T17" s="256"/>
      <c r="U17" s="741"/>
      <c r="V17" s="256"/>
      <c r="W17" s="741"/>
      <c r="X17" s="256"/>
      <c r="Y17" s="741"/>
      <c r="Z17" s="256"/>
      <c r="AA17" s="741"/>
      <c r="AB17" s="256"/>
      <c r="AC17" s="741"/>
      <c r="AD17" s="256"/>
      <c r="AE17" s="741"/>
      <c r="AF17" s="256"/>
      <c r="AG17" s="741"/>
      <c r="AH17" s="256"/>
      <c r="AI17" s="741"/>
      <c r="AJ17" s="256"/>
      <c r="AK17" s="741"/>
      <c r="AL17" s="256"/>
      <c r="AM17" s="741"/>
      <c r="AN17" s="256"/>
      <c r="AO17" s="741"/>
      <c r="AP17" s="256"/>
      <c r="AQ17" s="741"/>
      <c r="AR17" s="256"/>
      <c r="AS17" s="741"/>
      <c r="AT17" s="256"/>
      <c r="AU17" s="483">
        <f t="shared" si="2"/>
        <v>0</v>
      </c>
      <c r="AV17" s="484">
        <f t="shared" si="0"/>
        <v>0</v>
      </c>
      <c r="AW17" s="775" t="str">
        <f t="shared" si="1"/>
        <v>OK</v>
      </c>
      <c r="AX17" s="778">
        <f>'t1'!L17-'t3'!C17-'t3'!E17-'t3'!G17-'t3'!I17-'t3'!K17+'t3'!M17+'t3'!O17+'t3'!Q17</f>
        <v>0</v>
      </c>
      <c r="AY17" s="779">
        <f>'t1'!M17-'t3'!D17-'t3'!F17-'t3'!H17-'t3'!J17-'t3'!L17+'t3'!N17+'t3'!P17+'t3'!R17</f>
        <v>0</v>
      </c>
      <c r="AZ17" s="5">
        <f>'t1'!N17</f>
        <v>0</v>
      </c>
    </row>
    <row r="18" spans="1:52" ht="12.75" customHeight="1">
      <c r="A18" s="24" t="str">
        <f>'t1'!A18</f>
        <v>PROFESSORI DI SECONDA FASCIA T. DET. TERMINE ATTIV DIDATT</v>
      </c>
      <c r="B18" s="154" t="str">
        <f>'t1'!B18</f>
        <v>016DD2</v>
      </c>
      <c r="C18" s="741"/>
      <c r="D18" s="256"/>
      <c r="E18" s="741"/>
      <c r="F18" s="256"/>
      <c r="G18" s="741"/>
      <c r="H18" s="256"/>
      <c r="I18" s="741"/>
      <c r="J18" s="256"/>
      <c r="K18" s="741"/>
      <c r="L18" s="256"/>
      <c r="M18" s="741"/>
      <c r="N18" s="256"/>
      <c r="O18" s="741"/>
      <c r="P18" s="256"/>
      <c r="Q18" s="741"/>
      <c r="R18" s="256"/>
      <c r="S18" s="741"/>
      <c r="T18" s="256"/>
      <c r="U18" s="741"/>
      <c r="V18" s="256"/>
      <c r="W18" s="741"/>
      <c r="X18" s="256"/>
      <c r="Y18" s="741"/>
      <c r="Z18" s="256"/>
      <c r="AA18" s="741"/>
      <c r="AB18" s="256"/>
      <c r="AC18" s="741"/>
      <c r="AD18" s="256"/>
      <c r="AE18" s="741"/>
      <c r="AF18" s="256"/>
      <c r="AG18" s="741"/>
      <c r="AH18" s="256"/>
      <c r="AI18" s="741"/>
      <c r="AJ18" s="256"/>
      <c r="AK18" s="741"/>
      <c r="AL18" s="256"/>
      <c r="AM18" s="741"/>
      <c r="AN18" s="256"/>
      <c r="AO18" s="741"/>
      <c r="AP18" s="256"/>
      <c r="AQ18" s="741"/>
      <c r="AR18" s="256"/>
      <c r="AS18" s="741"/>
      <c r="AT18" s="256"/>
      <c r="AU18" s="483">
        <f t="shared" si="2"/>
        <v>0</v>
      </c>
      <c r="AV18" s="484">
        <f t="shared" si="0"/>
        <v>0</v>
      </c>
      <c r="AW18" s="775" t="str">
        <f t="shared" si="1"/>
        <v>OK</v>
      </c>
      <c r="AX18" s="778">
        <f>'t1'!L18-'t3'!C18-'t3'!E18-'t3'!G18-'t3'!I18-'t3'!K18+'t3'!M18+'t3'!O18+'t3'!Q18</f>
        <v>0</v>
      </c>
      <c r="AY18" s="779">
        <f>'t1'!M18-'t3'!D18-'t3'!F18-'t3'!H18-'t3'!J18-'t3'!L18+'t3'!N18+'t3'!P18+'t3'!R18</f>
        <v>0</v>
      </c>
      <c r="AZ18" s="5">
        <f>'t1'!N18</f>
        <v>0</v>
      </c>
    </row>
    <row r="19" spans="1:52" ht="12.75" customHeight="1">
      <c r="A19" s="24" t="str">
        <f>'t1'!A19</f>
        <v>DIRETTORE AMMINISTRATIVO TEMPO DET.ANNUALE (EP2)</v>
      </c>
      <c r="B19" s="154" t="str">
        <f>'t1'!B19</f>
        <v>013EP2</v>
      </c>
      <c r="C19" s="742"/>
      <c r="D19" s="743"/>
      <c r="E19" s="742"/>
      <c r="F19" s="743"/>
      <c r="G19" s="742"/>
      <c r="H19" s="743"/>
      <c r="I19" s="742"/>
      <c r="J19" s="743"/>
      <c r="K19" s="742"/>
      <c r="L19" s="743"/>
      <c r="M19" s="742"/>
      <c r="N19" s="743"/>
      <c r="O19" s="742"/>
      <c r="P19" s="743"/>
      <c r="Q19" s="742"/>
      <c r="R19" s="743"/>
      <c r="S19" s="742"/>
      <c r="T19" s="743"/>
      <c r="U19" s="742"/>
      <c r="V19" s="256"/>
      <c r="W19" s="741"/>
      <c r="X19" s="256"/>
      <c r="Y19" s="741"/>
      <c r="Z19" s="256"/>
      <c r="AA19" s="741"/>
      <c r="AB19" s="256"/>
      <c r="AC19" s="741"/>
      <c r="AD19" s="256"/>
      <c r="AE19" s="741"/>
      <c r="AF19" s="256"/>
      <c r="AG19" s="741"/>
      <c r="AH19" s="256"/>
      <c r="AI19" s="741"/>
      <c r="AJ19" s="256"/>
      <c r="AK19" s="741"/>
      <c r="AL19" s="256"/>
      <c r="AM19" s="741"/>
      <c r="AN19" s="256"/>
      <c r="AO19" s="741"/>
      <c r="AP19" s="256"/>
      <c r="AQ19" s="741"/>
      <c r="AR19" s="256"/>
      <c r="AS19" s="741"/>
      <c r="AT19" s="256"/>
      <c r="AU19" s="483">
        <f t="shared" si="2"/>
        <v>0</v>
      </c>
      <c r="AV19" s="484">
        <f t="shared" si="0"/>
        <v>0</v>
      </c>
      <c r="AW19" s="775" t="str">
        <f t="shared" si="1"/>
        <v>OK</v>
      </c>
      <c r="AX19" s="778">
        <f>'t1'!L19-'t3'!C19-'t3'!E19-'t3'!G19-'t3'!I19-'t3'!K19+'t3'!M19+'t3'!O19+'t3'!Q19</f>
        <v>0</v>
      </c>
      <c r="AY19" s="779">
        <f>'t1'!M19-'t3'!D19-'t3'!F19-'t3'!H19-'t3'!J19-'t3'!L19+'t3'!N19+'t3'!P19+'t3'!R19</f>
        <v>0</v>
      </c>
      <c r="AZ19" s="5">
        <f>'t1'!N19</f>
        <v>0</v>
      </c>
    </row>
    <row r="20" spans="1:52" ht="12.75" customHeight="1">
      <c r="A20" s="24" t="str">
        <f>'t1'!A20</f>
        <v>DIRETTORE DELL UFFICIO DI RAGIONERIA TEMPO DET.ANNUALE (EP1)</v>
      </c>
      <c r="B20" s="154" t="str">
        <f>'t1'!B20</f>
        <v>013160</v>
      </c>
      <c r="C20" s="744"/>
      <c r="D20" s="260"/>
      <c r="E20" s="744"/>
      <c r="F20" s="260"/>
      <c r="G20" s="744"/>
      <c r="H20" s="260"/>
      <c r="I20" s="744"/>
      <c r="J20" s="260"/>
      <c r="K20" s="744"/>
      <c r="L20" s="260"/>
      <c r="M20" s="744"/>
      <c r="N20" s="260"/>
      <c r="O20" s="744"/>
      <c r="P20" s="260"/>
      <c r="Q20" s="744"/>
      <c r="R20" s="260"/>
      <c r="S20" s="744"/>
      <c r="T20" s="260"/>
      <c r="U20" s="744"/>
      <c r="V20" s="256"/>
      <c r="W20" s="741"/>
      <c r="X20" s="256"/>
      <c r="Y20" s="741"/>
      <c r="Z20" s="256"/>
      <c r="AA20" s="741"/>
      <c r="AB20" s="256"/>
      <c r="AC20" s="741"/>
      <c r="AD20" s="256"/>
      <c r="AE20" s="741"/>
      <c r="AF20" s="256"/>
      <c r="AG20" s="741"/>
      <c r="AH20" s="256"/>
      <c r="AI20" s="741"/>
      <c r="AJ20" s="256"/>
      <c r="AK20" s="741"/>
      <c r="AL20" s="256"/>
      <c r="AM20" s="741"/>
      <c r="AN20" s="256"/>
      <c r="AO20" s="741"/>
      <c r="AP20" s="256"/>
      <c r="AQ20" s="741"/>
      <c r="AR20" s="256"/>
      <c r="AS20" s="741"/>
      <c r="AT20" s="256"/>
      <c r="AU20" s="483">
        <f t="shared" si="2"/>
        <v>0</v>
      </c>
      <c r="AV20" s="484">
        <f t="shared" si="0"/>
        <v>0</v>
      </c>
      <c r="AW20" s="775" t="str">
        <f t="shared" si="1"/>
        <v>OK</v>
      </c>
      <c r="AX20" s="778">
        <f>'t1'!L20-'t3'!C20-'t3'!E20-'t3'!G20-'t3'!I20-'t3'!K20+'t3'!M20+'t3'!O20+'t3'!Q20</f>
        <v>0</v>
      </c>
      <c r="AY20" s="779">
        <f>'t1'!M20-'t3'!D20-'t3'!F20-'t3'!H20-'t3'!J20-'t3'!L20+'t3'!N20+'t3'!P20+'t3'!R20</f>
        <v>0</v>
      </c>
      <c r="AZ20" s="5">
        <f>'t1'!N20</f>
        <v>0</v>
      </c>
    </row>
    <row r="21" spans="1:52" ht="12.75" customHeight="1">
      <c r="A21" s="24" t="str">
        <f>'t1'!A21</f>
        <v>DIRETTORE AMMINISTRATIVO T. DET. TERMINE ATTIV DIDATT(EP2)</v>
      </c>
      <c r="B21" s="154" t="str">
        <f>'t1'!B21</f>
        <v>013E2N</v>
      </c>
      <c r="C21" s="741"/>
      <c r="D21" s="256"/>
      <c r="E21" s="741"/>
      <c r="F21" s="256"/>
      <c r="G21" s="741"/>
      <c r="H21" s="256"/>
      <c r="I21" s="741"/>
      <c r="J21" s="256"/>
      <c r="K21" s="741"/>
      <c r="L21" s="256"/>
      <c r="M21" s="741"/>
      <c r="N21" s="256"/>
      <c r="O21" s="741"/>
      <c r="P21" s="256"/>
      <c r="Q21" s="741"/>
      <c r="R21" s="256"/>
      <c r="S21" s="741"/>
      <c r="T21" s="256"/>
      <c r="U21" s="741"/>
      <c r="V21" s="256"/>
      <c r="W21" s="741"/>
      <c r="X21" s="256"/>
      <c r="Y21" s="741"/>
      <c r="Z21" s="256"/>
      <c r="AA21" s="741"/>
      <c r="AB21" s="256"/>
      <c r="AC21" s="741"/>
      <c r="AD21" s="256"/>
      <c r="AE21" s="741"/>
      <c r="AF21" s="256"/>
      <c r="AG21" s="741"/>
      <c r="AH21" s="256"/>
      <c r="AI21" s="741"/>
      <c r="AJ21" s="256"/>
      <c r="AK21" s="741"/>
      <c r="AL21" s="256"/>
      <c r="AM21" s="741"/>
      <c r="AN21" s="256"/>
      <c r="AO21" s="741"/>
      <c r="AP21" s="256"/>
      <c r="AQ21" s="741"/>
      <c r="AR21" s="256"/>
      <c r="AS21" s="741"/>
      <c r="AT21" s="256"/>
      <c r="AU21" s="483">
        <f t="shared" si="2"/>
        <v>0</v>
      </c>
      <c r="AV21" s="484">
        <f t="shared" si="0"/>
        <v>0</v>
      </c>
      <c r="AW21" s="775" t="str">
        <f t="shared" si="1"/>
        <v>OK</v>
      </c>
      <c r="AX21" s="778">
        <f>'t1'!L21-'t3'!C21-'t3'!E21-'t3'!G21-'t3'!I21-'t3'!K21+'t3'!M21+'t3'!O21+'t3'!Q21</f>
        <v>0</v>
      </c>
      <c r="AY21" s="779">
        <f>'t1'!M21-'t3'!D21-'t3'!F21-'t3'!H21-'t3'!J21-'t3'!L21+'t3'!N21+'t3'!P21+'t3'!R21</f>
        <v>0</v>
      </c>
      <c r="AZ21" s="5">
        <f>'t1'!N21</f>
        <v>0</v>
      </c>
    </row>
    <row r="22" spans="1:52" ht="12.75" customHeight="1">
      <c r="A22" s="24" t="str">
        <f>'t1'!A22</f>
        <v>DIRETTORE UFF. RAGIONERIA T. DET. TERM. ATTIV DIDATT(EP1)</v>
      </c>
      <c r="B22" s="154" t="str">
        <f>'t1'!B22</f>
        <v>013E1N</v>
      </c>
      <c r="C22" s="741"/>
      <c r="D22" s="256"/>
      <c r="E22" s="741"/>
      <c r="F22" s="256"/>
      <c r="G22" s="741"/>
      <c r="H22" s="256"/>
      <c r="I22" s="741"/>
      <c r="J22" s="256"/>
      <c r="K22" s="741"/>
      <c r="L22" s="256"/>
      <c r="M22" s="741"/>
      <c r="N22" s="256"/>
      <c r="O22" s="741"/>
      <c r="P22" s="256"/>
      <c r="Q22" s="741"/>
      <c r="R22" s="256"/>
      <c r="S22" s="741"/>
      <c r="T22" s="256"/>
      <c r="U22" s="741"/>
      <c r="V22" s="256"/>
      <c r="W22" s="741"/>
      <c r="X22" s="256"/>
      <c r="Y22" s="741"/>
      <c r="Z22" s="256"/>
      <c r="AA22" s="741"/>
      <c r="AB22" s="256"/>
      <c r="AC22" s="741"/>
      <c r="AD22" s="256"/>
      <c r="AE22" s="741"/>
      <c r="AF22" s="256"/>
      <c r="AG22" s="741"/>
      <c r="AH22" s="256"/>
      <c r="AI22" s="741"/>
      <c r="AJ22" s="256"/>
      <c r="AK22" s="741"/>
      <c r="AL22" s="256"/>
      <c r="AM22" s="741"/>
      <c r="AN22" s="256"/>
      <c r="AO22" s="741"/>
      <c r="AP22" s="256"/>
      <c r="AQ22" s="741"/>
      <c r="AR22" s="256"/>
      <c r="AS22" s="741"/>
      <c r="AT22" s="256"/>
      <c r="AU22" s="483">
        <f t="shared" si="2"/>
        <v>0</v>
      </c>
      <c r="AV22" s="484">
        <f t="shared" si="0"/>
        <v>0</v>
      </c>
      <c r="AW22" s="775" t="str">
        <f t="shared" si="1"/>
        <v>OK</v>
      </c>
      <c r="AX22" s="778">
        <f>'t1'!L22-'t3'!C22-'t3'!E22-'t3'!G22-'t3'!I22-'t3'!K22+'t3'!M22+'t3'!O22+'t3'!Q22</f>
        <v>0</v>
      </c>
      <c r="AY22" s="779">
        <f>'t1'!M22-'t3'!D22-'t3'!F22-'t3'!H22-'t3'!J22-'t3'!L22+'t3'!N22+'t3'!P22+'t3'!R22</f>
        <v>0</v>
      </c>
      <c r="AZ22" s="5">
        <f>'t1'!N22</f>
        <v>0</v>
      </c>
    </row>
    <row r="23" spans="1:52" ht="12.75" customHeight="1">
      <c r="A23" s="24" t="str">
        <f>'t1'!A23</f>
        <v>COORD. DI BIBLIOT., COORD. TEC. E AMM. TEMPO DET.ANNUALE</v>
      </c>
      <c r="B23" s="154" t="str">
        <f>'t1'!B23</f>
        <v>013DDE</v>
      </c>
      <c r="C23" s="741"/>
      <c r="D23" s="256"/>
      <c r="E23" s="741"/>
      <c r="F23" s="256"/>
      <c r="G23" s="741"/>
      <c r="H23" s="256"/>
      <c r="I23" s="741"/>
      <c r="J23" s="256"/>
      <c r="K23" s="741"/>
      <c r="L23" s="256"/>
      <c r="M23" s="741"/>
      <c r="N23" s="256"/>
      <c r="O23" s="741"/>
      <c r="P23" s="256"/>
      <c r="Q23" s="741"/>
      <c r="R23" s="256"/>
      <c r="S23" s="741"/>
      <c r="T23" s="256"/>
      <c r="U23" s="741"/>
      <c r="V23" s="256"/>
      <c r="W23" s="741"/>
      <c r="X23" s="256"/>
      <c r="Y23" s="741"/>
      <c r="Z23" s="256"/>
      <c r="AA23" s="741"/>
      <c r="AB23" s="256"/>
      <c r="AC23" s="741"/>
      <c r="AD23" s="256"/>
      <c r="AE23" s="741"/>
      <c r="AF23" s="256"/>
      <c r="AG23" s="741"/>
      <c r="AH23" s="256"/>
      <c r="AI23" s="741"/>
      <c r="AJ23" s="256"/>
      <c r="AK23" s="741"/>
      <c r="AL23" s="256"/>
      <c r="AM23" s="741"/>
      <c r="AN23" s="256"/>
      <c r="AO23" s="741"/>
      <c r="AP23" s="256"/>
      <c r="AQ23" s="741"/>
      <c r="AR23" s="256"/>
      <c r="AS23" s="741"/>
      <c r="AT23" s="256"/>
      <c r="AU23" s="483">
        <f t="shared" si="2"/>
        <v>0</v>
      </c>
      <c r="AV23" s="484">
        <f t="shared" si="0"/>
        <v>0</v>
      </c>
      <c r="AW23" s="775" t="str">
        <f t="shared" si="1"/>
        <v>OK</v>
      </c>
      <c r="AX23" s="778">
        <f>'t1'!L23-'t3'!C23-'t3'!E23-'t3'!G23-'t3'!I23-'t3'!K23+'t3'!M23+'t3'!O23+'t3'!Q23</f>
        <v>0</v>
      </c>
      <c r="AY23" s="779">
        <f>'t1'!M23-'t3'!D23-'t3'!F23-'t3'!H23-'t3'!J23-'t3'!L23+'t3'!N23+'t3'!P23+'t3'!R23</f>
        <v>0</v>
      </c>
      <c r="AZ23" s="5">
        <f>'t1'!N23</f>
        <v>0</v>
      </c>
    </row>
    <row r="24" spans="1:52" ht="12.75" customHeight="1">
      <c r="A24" s="24" t="str">
        <f>'t1'!A24</f>
        <v>COLLAB. TEC. AMMIN. DI BIBLIOT. E DI LAB. TEMPO DET.ANNUALE</v>
      </c>
      <c r="B24" s="154" t="str">
        <f>'t1'!B24</f>
        <v>013CDE</v>
      </c>
      <c r="C24" s="741"/>
      <c r="D24" s="256"/>
      <c r="E24" s="741"/>
      <c r="F24" s="256"/>
      <c r="G24" s="741"/>
      <c r="H24" s="256"/>
      <c r="I24" s="741"/>
      <c r="J24" s="256"/>
      <c r="K24" s="741"/>
      <c r="L24" s="256"/>
      <c r="M24" s="741"/>
      <c r="N24" s="256"/>
      <c r="O24" s="741"/>
      <c r="P24" s="256"/>
      <c r="Q24" s="741"/>
      <c r="R24" s="256"/>
      <c r="S24" s="741"/>
      <c r="T24" s="256"/>
      <c r="U24" s="741"/>
      <c r="V24" s="256"/>
      <c r="W24" s="741"/>
      <c r="X24" s="256"/>
      <c r="Y24" s="741"/>
      <c r="Z24" s="256"/>
      <c r="AA24" s="741"/>
      <c r="AB24" s="256"/>
      <c r="AC24" s="741"/>
      <c r="AD24" s="256"/>
      <c r="AE24" s="741"/>
      <c r="AF24" s="256"/>
      <c r="AG24" s="741"/>
      <c r="AH24" s="256"/>
      <c r="AI24" s="741"/>
      <c r="AJ24" s="256"/>
      <c r="AK24" s="741"/>
      <c r="AL24" s="256"/>
      <c r="AM24" s="741"/>
      <c r="AN24" s="256"/>
      <c r="AO24" s="741"/>
      <c r="AP24" s="256"/>
      <c r="AQ24" s="741"/>
      <c r="AR24" s="256"/>
      <c r="AS24" s="741"/>
      <c r="AT24" s="256"/>
      <c r="AU24" s="483">
        <f t="shared" si="2"/>
        <v>0</v>
      </c>
      <c r="AV24" s="484">
        <f t="shared" si="0"/>
        <v>0</v>
      </c>
      <c r="AW24" s="775" t="str">
        <f t="shared" si="1"/>
        <v>OK</v>
      </c>
      <c r="AX24" s="778">
        <f>'t1'!L24-'t3'!C24-'t3'!E24-'t3'!G24-'t3'!I24-'t3'!K24+'t3'!M24+'t3'!O24+'t3'!Q24</f>
        <v>0</v>
      </c>
      <c r="AY24" s="779">
        <f>'t1'!M24-'t3'!D24-'t3'!F24-'t3'!H24-'t3'!J24-'t3'!L24+'t3'!N24+'t3'!P24+'t3'!R24</f>
        <v>0</v>
      </c>
      <c r="AZ24" s="5">
        <f>'t1'!N24</f>
        <v>0</v>
      </c>
    </row>
    <row r="25" spans="1:52" ht="12.75" customHeight="1">
      <c r="A25" s="24" t="str">
        <f>'t1'!A25</f>
        <v>ASSIST. AMMINISTRATIVO TEMPO DET.ANNUALE</v>
      </c>
      <c r="B25" s="154" t="str">
        <f>'t1'!B25</f>
        <v>012118</v>
      </c>
      <c r="C25" s="741"/>
      <c r="D25" s="256"/>
      <c r="E25" s="741"/>
      <c r="F25" s="256"/>
      <c r="G25" s="741"/>
      <c r="H25" s="256"/>
      <c r="I25" s="741"/>
      <c r="J25" s="256"/>
      <c r="K25" s="741"/>
      <c r="L25" s="256"/>
      <c r="M25" s="741"/>
      <c r="N25" s="256"/>
      <c r="O25" s="741"/>
      <c r="P25" s="256"/>
      <c r="Q25" s="741"/>
      <c r="R25" s="256"/>
      <c r="S25" s="741"/>
      <c r="T25" s="256"/>
      <c r="U25" s="741"/>
      <c r="V25" s="256"/>
      <c r="W25" s="741">
        <v>1</v>
      </c>
      <c r="X25" s="256"/>
      <c r="Y25" s="741"/>
      <c r="Z25" s="256"/>
      <c r="AA25" s="741"/>
      <c r="AB25" s="256"/>
      <c r="AC25" s="741"/>
      <c r="AD25" s="256"/>
      <c r="AE25" s="741"/>
      <c r="AF25" s="256"/>
      <c r="AG25" s="741"/>
      <c r="AH25" s="256"/>
      <c r="AI25" s="741"/>
      <c r="AJ25" s="256"/>
      <c r="AK25" s="741"/>
      <c r="AL25" s="256"/>
      <c r="AM25" s="741"/>
      <c r="AN25" s="256"/>
      <c r="AO25" s="741"/>
      <c r="AP25" s="256"/>
      <c r="AQ25" s="741"/>
      <c r="AR25" s="256"/>
      <c r="AS25" s="741"/>
      <c r="AT25" s="256"/>
      <c r="AU25" s="483">
        <f t="shared" si="2"/>
        <v>1</v>
      </c>
      <c r="AV25" s="484">
        <f t="shared" si="0"/>
        <v>0</v>
      </c>
      <c r="AW25" s="775" t="str">
        <f t="shared" si="1"/>
        <v>OK</v>
      </c>
      <c r="AX25" s="778">
        <f>'t1'!L25-'t3'!C25-'t3'!E25-'t3'!G25-'t3'!I25-'t3'!K25+'t3'!M25+'t3'!O25+'t3'!Q25</f>
        <v>1</v>
      </c>
      <c r="AY25" s="779">
        <f>'t1'!M25-'t3'!D25-'t3'!F25-'t3'!H25-'t3'!J25-'t3'!L25+'t3'!N25+'t3'!P25+'t3'!R25</f>
        <v>0</v>
      </c>
      <c r="AZ25" s="5">
        <f>'t1'!N25</f>
        <v>1</v>
      </c>
    </row>
    <row r="26" spans="1:52" ht="12.75" customHeight="1">
      <c r="A26" s="24" t="str">
        <f>'t1'!A26</f>
        <v>COADIUTORE TEMPO DET.ANNUALE</v>
      </c>
      <c r="B26" s="154" t="str">
        <f>'t1'!B26</f>
        <v>011124</v>
      </c>
      <c r="C26" s="741"/>
      <c r="D26" s="256"/>
      <c r="E26" s="741"/>
      <c r="F26" s="256"/>
      <c r="G26" s="741"/>
      <c r="H26" s="256"/>
      <c r="I26" s="741"/>
      <c r="J26" s="256"/>
      <c r="K26" s="741"/>
      <c r="L26" s="256"/>
      <c r="M26" s="741"/>
      <c r="N26" s="256"/>
      <c r="O26" s="741"/>
      <c r="P26" s="256"/>
      <c r="Q26" s="741"/>
      <c r="R26" s="256"/>
      <c r="S26" s="741"/>
      <c r="T26" s="256"/>
      <c r="U26" s="741"/>
      <c r="V26" s="256"/>
      <c r="W26" s="741">
        <v>2</v>
      </c>
      <c r="X26" s="256">
        <v>2</v>
      </c>
      <c r="Y26" s="741"/>
      <c r="Z26" s="256"/>
      <c r="AA26" s="741"/>
      <c r="AB26" s="256"/>
      <c r="AC26" s="741"/>
      <c r="AD26" s="256"/>
      <c r="AE26" s="741"/>
      <c r="AF26" s="256"/>
      <c r="AG26" s="741"/>
      <c r="AH26" s="256"/>
      <c r="AI26" s="741"/>
      <c r="AJ26" s="256"/>
      <c r="AK26" s="741"/>
      <c r="AL26" s="256"/>
      <c r="AM26" s="741"/>
      <c r="AN26" s="256"/>
      <c r="AO26" s="741"/>
      <c r="AP26" s="256"/>
      <c r="AQ26" s="741"/>
      <c r="AR26" s="256"/>
      <c r="AS26" s="741"/>
      <c r="AT26" s="256"/>
      <c r="AU26" s="483">
        <f t="shared" si="2"/>
        <v>2</v>
      </c>
      <c r="AV26" s="484">
        <f t="shared" si="0"/>
        <v>2</v>
      </c>
      <c r="AW26" s="775" t="str">
        <f t="shared" si="1"/>
        <v>OK</v>
      </c>
      <c r="AX26" s="778">
        <f>'t1'!L26-'t3'!C26-'t3'!E26-'t3'!G26-'t3'!I26-'t3'!K26+'t3'!M26+'t3'!O26+'t3'!Q26</f>
        <v>2</v>
      </c>
      <c r="AY26" s="779">
        <f>'t1'!M26-'t3'!D26-'t3'!F26-'t3'!H26-'t3'!J26-'t3'!L26+'t3'!N26+'t3'!P26+'t3'!R26</f>
        <v>2</v>
      </c>
      <c r="AZ26" s="5">
        <f>'t1'!N26</f>
        <v>4</v>
      </c>
    </row>
    <row r="27" spans="1:52" ht="12.75" customHeight="1">
      <c r="A27" s="24" t="str">
        <f>'t1'!A27</f>
        <v>COORD. BIBL., COORD. TEC. E AMM. T. DET. TERM. ATTIV DIDATT</v>
      </c>
      <c r="B27" s="154" t="str">
        <f>'t1'!B27</f>
        <v>013DDN</v>
      </c>
      <c r="C27" s="741"/>
      <c r="D27" s="256"/>
      <c r="E27" s="741"/>
      <c r="F27" s="256"/>
      <c r="G27" s="741"/>
      <c r="H27" s="256"/>
      <c r="I27" s="741"/>
      <c r="J27" s="256"/>
      <c r="K27" s="741"/>
      <c r="L27" s="256"/>
      <c r="M27" s="741"/>
      <c r="N27" s="256"/>
      <c r="O27" s="741"/>
      <c r="P27" s="256"/>
      <c r="Q27" s="741"/>
      <c r="R27" s="256"/>
      <c r="S27" s="741"/>
      <c r="T27" s="256"/>
      <c r="U27" s="741"/>
      <c r="V27" s="256"/>
      <c r="W27" s="741"/>
      <c r="X27" s="256"/>
      <c r="Y27" s="741"/>
      <c r="Z27" s="256"/>
      <c r="AA27" s="741"/>
      <c r="AB27" s="256"/>
      <c r="AC27" s="741"/>
      <c r="AD27" s="256"/>
      <c r="AE27" s="741"/>
      <c r="AF27" s="256"/>
      <c r="AG27" s="741"/>
      <c r="AH27" s="256"/>
      <c r="AI27" s="741"/>
      <c r="AJ27" s="256"/>
      <c r="AK27" s="741"/>
      <c r="AL27" s="256"/>
      <c r="AM27" s="741"/>
      <c r="AN27" s="256"/>
      <c r="AO27" s="741"/>
      <c r="AP27" s="256"/>
      <c r="AQ27" s="741"/>
      <c r="AR27" s="256"/>
      <c r="AS27" s="741"/>
      <c r="AT27" s="256"/>
      <c r="AU27" s="483">
        <f t="shared" si="2"/>
        <v>0</v>
      </c>
      <c r="AV27" s="484">
        <f t="shared" si="0"/>
        <v>0</v>
      </c>
      <c r="AW27" s="775" t="str">
        <f t="shared" si="1"/>
        <v>OK</v>
      </c>
      <c r="AX27" s="778">
        <f>'t1'!L27-'t3'!C27-'t3'!E27-'t3'!G27-'t3'!I27-'t3'!K27+'t3'!M27+'t3'!O27+'t3'!Q27</f>
        <v>0</v>
      </c>
      <c r="AY27" s="779">
        <f>'t1'!M27-'t3'!D27-'t3'!F27-'t3'!H27-'t3'!J27-'t3'!L27+'t3'!N27+'t3'!P27+'t3'!R27</f>
        <v>0</v>
      </c>
      <c r="AZ27" s="5">
        <f>'t1'!N27</f>
        <v>0</v>
      </c>
    </row>
    <row r="28" spans="1:52" ht="12.75" customHeight="1">
      <c r="A28" s="24" t="str">
        <f>'t1'!A28</f>
        <v>COLLAB. TEC. AMM. BIBL. E DI LAB. T. D. TERM. ATTIV DIDATT</v>
      </c>
      <c r="B28" s="154" t="str">
        <f>'t1'!B28</f>
        <v>013CDN</v>
      </c>
      <c r="C28" s="741"/>
      <c r="D28" s="256"/>
      <c r="E28" s="741"/>
      <c r="F28" s="256"/>
      <c r="G28" s="741"/>
      <c r="H28" s="256"/>
      <c r="I28" s="741"/>
      <c r="J28" s="256"/>
      <c r="K28" s="741"/>
      <c r="L28" s="256"/>
      <c r="M28" s="741"/>
      <c r="N28" s="256"/>
      <c r="O28" s="741"/>
      <c r="P28" s="256"/>
      <c r="Q28" s="741"/>
      <c r="R28" s="256"/>
      <c r="S28" s="741"/>
      <c r="T28" s="256"/>
      <c r="U28" s="741"/>
      <c r="V28" s="256"/>
      <c r="W28" s="741"/>
      <c r="X28" s="256"/>
      <c r="Y28" s="741"/>
      <c r="Z28" s="256"/>
      <c r="AA28" s="741"/>
      <c r="AB28" s="256"/>
      <c r="AC28" s="741"/>
      <c r="AD28" s="256"/>
      <c r="AE28" s="741"/>
      <c r="AF28" s="256"/>
      <c r="AG28" s="741"/>
      <c r="AH28" s="256"/>
      <c r="AI28" s="741"/>
      <c r="AJ28" s="256"/>
      <c r="AK28" s="741"/>
      <c r="AL28" s="256"/>
      <c r="AM28" s="741"/>
      <c r="AN28" s="256"/>
      <c r="AO28" s="741"/>
      <c r="AP28" s="256"/>
      <c r="AQ28" s="741"/>
      <c r="AR28" s="256"/>
      <c r="AS28" s="741"/>
      <c r="AT28" s="256"/>
      <c r="AU28" s="483">
        <f t="shared" si="2"/>
        <v>0</v>
      </c>
      <c r="AV28" s="484">
        <f t="shared" si="0"/>
        <v>0</v>
      </c>
      <c r="AW28" s="775" t="str">
        <f t="shared" si="1"/>
        <v>OK</v>
      </c>
      <c r="AX28" s="778">
        <f>'t1'!L28-'t3'!C28-'t3'!E28-'t3'!G28-'t3'!I28-'t3'!K28+'t3'!M28+'t3'!O28+'t3'!Q28</f>
        <v>0</v>
      </c>
      <c r="AY28" s="779">
        <f>'t1'!M28-'t3'!D28-'t3'!F28-'t3'!H28-'t3'!J28-'t3'!L28+'t3'!N28+'t3'!P28+'t3'!R28</f>
        <v>0</v>
      </c>
      <c r="AZ28" s="5">
        <f>'t1'!N28</f>
        <v>0</v>
      </c>
    </row>
    <row r="29" spans="1:52" ht="12.75" customHeight="1">
      <c r="A29" s="24" t="str">
        <f>'t1'!A29</f>
        <v>ASSISTENTE AMMINISTRATIVO TEM.DET. TERMINE ATTIV DIDATT</v>
      </c>
      <c r="B29" s="154" t="str">
        <f>'t1'!B29</f>
        <v>016509</v>
      </c>
      <c r="C29" s="741"/>
      <c r="D29" s="256"/>
      <c r="E29" s="741"/>
      <c r="F29" s="256"/>
      <c r="G29" s="741"/>
      <c r="H29" s="256"/>
      <c r="I29" s="741"/>
      <c r="J29" s="256"/>
      <c r="K29" s="741"/>
      <c r="L29" s="256"/>
      <c r="M29" s="741"/>
      <c r="N29" s="256"/>
      <c r="O29" s="741"/>
      <c r="P29" s="256"/>
      <c r="Q29" s="741"/>
      <c r="R29" s="256"/>
      <c r="S29" s="741"/>
      <c r="T29" s="256"/>
      <c r="U29" s="741"/>
      <c r="V29" s="256"/>
      <c r="W29" s="741"/>
      <c r="X29" s="256"/>
      <c r="Y29" s="741"/>
      <c r="Z29" s="256"/>
      <c r="AA29" s="741"/>
      <c r="AB29" s="256"/>
      <c r="AC29" s="741"/>
      <c r="AD29" s="256"/>
      <c r="AE29" s="741"/>
      <c r="AF29" s="256"/>
      <c r="AG29" s="741"/>
      <c r="AH29" s="256"/>
      <c r="AI29" s="741"/>
      <c r="AJ29" s="256"/>
      <c r="AK29" s="741"/>
      <c r="AL29" s="256"/>
      <c r="AM29" s="741"/>
      <c r="AN29" s="256"/>
      <c r="AO29" s="741"/>
      <c r="AP29" s="256"/>
      <c r="AQ29" s="741"/>
      <c r="AR29" s="256"/>
      <c r="AS29" s="741"/>
      <c r="AT29" s="256"/>
      <c r="AU29" s="483">
        <f t="shared" si="2"/>
        <v>0</v>
      </c>
      <c r="AV29" s="484">
        <f t="shared" si="0"/>
        <v>0</v>
      </c>
      <c r="AW29" s="775" t="str">
        <f t="shared" si="1"/>
        <v>OK</v>
      </c>
      <c r="AX29" s="778">
        <f>'t1'!L29-'t3'!C29-'t3'!E29-'t3'!G29-'t3'!I29-'t3'!K29+'t3'!M29+'t3'!O29+'t3'!Q29</f>
        <v>0</v>
      </c>
      <c r="AY29" s="779">
        <f>'t1'!M29-'t3'!D29-'t3'!F29-'t3'!H29-'t3'!J29-'t3'!L29+'t3'!N29+'t3'!P29+'t3'!R29</f>
        <v>0</v>
      </c>
      <c r="AZ29" s="5">
        <f>'t1'!N29</f>
        <v>0</v>
      </c>
    </row>
    <row r="30" spans="1:52" ht="12.75" customHeight="1" thickBot="1">
      <c r="A30" s="24" t="str">
        <f>'t1'!A30</f>
        <v>COADIUTORE TEMPO DET. TERMINE ATTIV DIDATT</v>
      </c>
      <c r="B30" s="154" t="str">
        <f>'t1'!B30</f>
        <v>011CNA</v>
      </c>
      <c r="C30" s="741"/>
      <c r="D30" s="256"/>
      <c r="E30" s="741"/>
      <c r="F30" s="256"/>
      <c r="G30" s="741"/>
      <c r="H30" s="256"/>
      <c r="I30" s="741"/>
      <c r="J30" s="256"/>
      <c r="K30" s="741"/>
      <c r="L30" s="256"/>
      <c r="M30" s="741"/>
      <c r="N30" s="256"/>
      <c r="O30" s="741"/>
      <c r="P30" s="256"/>
      <c r="Q30" s="741"/>
      <c r="R30" s="256"/>
      <c r="S30" s="741"/>
      <c r="T30" s="256"/>
      <c r="U30" s="741"/>
      <c r="V30" s="256"/>
      <c r="W30" s="741"/>
      <c r="X30" s="256"/>
      <c r="Y30" s="741"/>
      <c r="Z30" s="256"/>
      <c r="AA30" s="741"/>
      <c r="AB30" s="256"/>
      <c r="AC30" s="741"/>
      <c r="AD30" s="256"/>
      <c r="AE30" s="741"/>
      <c r="AF30" s="256"/>
      <c r="AG30" s="741"/>
      <c r="AH30" s="256"/>
      <c r="AI30" s="741"/>
      <c r="AJ30" s="256"/>
      <c r="AK30" s="741"/>
      <c r="AL30" s="256"/>
      <c r="AM30" s="741"/>
      <c r="AN30" s="256"/>
      <c r="AO30" s="741"/>
      <c r="AP30" s="256"/>
      <c r="AQ30" s="741"/>
      <c r="AR30" s="256"/>
      <c r="AS30" s="741"/>
      <c r="AT30" s="256"/>
      <c r="AU30" s="483">
        <f t="shared" si="2"/>
        <v>0</v>
      </c>
      <c r="AV30" s="484">
        <f t="shared" si="0"/>
        <v>0</v>
      </c>
      <c r="AW30" s="775" t="str">
        <f t="shared" si="1"/>
        <v>OK</v>
      </c>
      <c r="AX30" s="780">
        <f>'t1'!L30-'t3'!C30-'t3'!E30-'t3'!G30-'t3'!I30-'t3'!K30+'t3'!M30+'t3'!O30+'t3'!Q30</f>
        <v>0</v>
      </c>
      <c r="AY30" s="781">
        <f>'t1'!M30-'t3'!D30-'t3'!F30-'t3'!H30-'t3'!J30-'t3'!L30+'t3'!N30+'t3'!P30+'t3'!R30</f>
        <v>0</v>
      </c>
      <c r="AZ30" s="5">
        <f>'t1'!N30</f>
        <v>0</v>
      </c>
    </row>
    <row r="31" spans="1:51" ht="17.25" customHeight="1" thickBot="1" thickTop="1">
      <c r="A31" s="18" t="s">
        <v>82</v>
      </c>
      <c r="B31" s="156"/>
      <c r="C31" s="485">
        <f aca="true" t="shared" si="3" ref="C31:AV31">SUM(C6:C30)</f>
        <v>0</v>
      </c>
      <c r="D31" s="487">
        <f t="shared" si="3"/>
        <v>0</v>
      </c>
      <c r="E31" s="485">
        <f t="shared" si="3"/>
        <v>0</v>
      </c>
      <c r="F31" s="487">
        <f t="shared" si="3"/>
        <v>0</v>
      </c>
      <c r="G31" s="485">
        <f t="shared" si="3"/>
        <v>0</v>
      </c>
      <c r="H31" s="487">
        <f t="shared" si="3"/>
        <v>0</v>
      </c>
      <c r="I31" s="485">
        <f t="shared" si="3"/>
        <v>0</v>
      </c>
      <c r="J31" s="487">
        <f t="shared" si="3"/>
        <v>0</v>
      </c>
      <c r="K31" s="485">
        <f t="shared" si="3"/>
        <v>0</v>
      </c>
      <c r="L31" s="487">
        <f t="shared" si="3"/>
        <v>0</v>
      </c>
      <c r="M31" s="485">
        <f t="shared" si="3"/>
        <v>0</v>
      </c>
      <c r="N31" s="487">
        <f t="shared" si="3"/>
        <v>0</v>
      </c>
      <c r="O31" s="485">
        <f t="shared" si="3"/>
        <v>0</v>
      </c>
      <c r="P31" s="487">
        <f t="shared" si="3"/>
        <v>0</v>
      </c>
      <c r="Q31" s="485">
        <f t="shared" si="3"/>
        <v>0</v>
      </c>
      <c r="R31" s="487">
        <f t="shared" si="3"/>
        <v>0</v>
      </c>
      <c r="S31" s="485">
        <f t="shared" si="3"/>
        <v>0</v>
      </c>
      <c r="T31" s="487">
        <f t="shared" si="3"/>
        <v>0</v>
      </c>
      <c r="U31" s="485">
        <f t="shared" si="3"/>
        <v>0</v>
      </c>
      <c r="V31" s="487">
        <f t="shared" si="3"/>
        <v>0</v>
      </c>
      <c r="W31" s="485">
        <f t="shared" si="3"/>
        <v>35</v>
      </c>
      <c r="X31" s="487">
        <f t="shared" si="3"/>
        <v>26</v>
      </c>
      <c r="Y31" s="485">
        <f t="shared" si="3"/>
        <v>0</v>
      </c>
      <c r="Z31" s="487">
        <f t="shared" si="3"/>
        <v>0</v>
      </c>
      <c r="AA31" s="485">
        <f t="shared" si="3"/>
        <v>0</v>
      </c>
      <c r="AB31" s="487">
        <f t="shared" si="3"/>
        <v>0</v>
      </c>
      <c r="AC31" s="485">
        <f t="shared" si="3"/>
        <v>0</v>
      </c>
      <c r="AD31" s="487">
        <f t="shared" si="3"/>
        <v>0</v>
      </c>
      <c r="AE31" s="485">
        <f t="shared" si="3"/>
        <v>0</v>
      </c>
      <c r="AF31" s="487">
        <f t="shared" si="3"/>
        <v>0</v>
      </c>
      <c r="AG31" s="485">
        <f t="shared" si="3"/>
        <v>0</v>
      </c>
      <c r="AH31" s="487">
        <f t="shared" si="3"/>
        <v>0</v>
      </c>
      <c r="AI31" s="485">
        <f t="shared" si="3"/>
        <v>0</v>
      </c>
      <c r="AJ31" s="487">
        <f t="shared" si="3"/>
        <v>0</v>
      </c>
      <c r="AK31" s="485">
        <f t="shared" si="3"/>
        <v>0</v>
      </c>
      <c r="AL31" s="487">
        <f t="shared" si="3"/>
        <v>0</v>
      </c>
      <c r="AM31" s="485">
        <f t="shared" si="3"/>
        <v>0</v>
      </c>
      <c r="AN31" s="487">
        <f t="shared" si="3"/>
        <v>0</v>
      </c>
      <c r="AO31" s="485">
        <f t="shared" si="3"/>
        <v>0</v>
      </c>
      <c r="AP31" s="487">
        <f t="shared" si="3"/>
        <v>0</v>
      </c>
      <c r="AQ31" s="485">
        <f t="shared" si="3"/>
        <v>0</v>
      </c>
      <c r="AR31" s="487">
        <f t="shared" si="3"/>
        <v>0</v>
      </c>
      <c r="AS31" s="485">
        <f t="shared" si="3"/>
        <v>0</v>
      </c>
      <c r="AT31" s="487">
        <f t="shared" si="3"/>
        <v>0</v>
      </c>
      <c r="AU31" s="485">
        <f t="shared" si="3"/>
        <v>35</v>
      </c>
      <c r="AV31" s="486">
        <f t="shared" si="3"/>
        <v>26</v>
      </c>
      <c r="AW31" s="775" t="str">
        <f>IF((AU49+AV49)=(AX31+AY31),"OK","Controllare totale")</f>
        <v>Controllare totale</v>
      </c>
      <c r="AX31" s="782">
        <f>SUM(AX6:AX30)</f>
        <v>35</v>
      </c>
      <c r="AY31" s="783">
        <f>SUM(AY6:AY30)</f>
        <v>26</v>
      </c>
    </row>
    <row r="32" spans="3:27" ht="17.25" customHeight="1">
      <c r="C32" s="26">
        <f>'t1'!$A$33</f>
      </c>
      <c r="M32" s="10"/>
      <c r="N32" s="10"/>
      <c r="O32" s="10"/>
      <c r="P32" s="10"/>
      <c r="Q32" s="10"/>
      <c r="R32" s="10"/>
      <c r="S32" s="9"/>
      <c r="T32" s="9"/>
      <c r="AA32" s="26">
        <f>'t1'!$A$33</f>
      </c>
    </row>
    <row r="33" spans="3:27" ht="11.25">
      <c r="C33" s="26"/>
      <c r="AA33" s="26" t="e">
        <f>'t1'!#REF!</f>
        <v>#REF!</v>
      </c>
    </row>
  </sheetData>
  <sheetProtection password="EA98" sheet="1" formatColumns="0" selectLockedCells="1"/>
  <mergeCells count="6">
    <mergeCell ref="A1:A2"/>
    <mergeCell ref="G4:H4"/>
    <mergeCell ref="S2:Z2"/>
    <mergeCell ref="AO2:AV2"/>
    <mergeCell ref="C1:W1"/>
    <mergeCell ref="AA1:AS1"/>
  </mergeCells>
  <conditionalFormatting sqref="A6:AV30">
    <cfRule type="expression" priority="2" dxfId="3" stopIfTrue="1">
      <formula>$AZ6&gt;0</formula>
    </cfRule>
  </conditionalFormatting>
  <conditionalFormatting sqref="W6:X26">
    <cfRule type="expression" priority="1" dxfId="3" stopIfTrue="1">
      <formula>$AZ6&gt;0</formula>
    </cfRule>
  </conditionalFormatting>
  <printOptions horizontalCentered="1" verticalCentered="1"/>
  <pageMargins left="0.1968503937007874" right="0.1968503937007874" top="0.1968503937007874" bottom="0.15748031496062992" header="0.2362204724409449" footer="0.1968503937007874"/>
  <pageSetup horizontalDpi="600" verticalDpi="600" orientation="landscape" paperSize="9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9"/>
  <dimension ref="A1:BD35"/>
  <sheetViews>
    <sheetView showGridLines="0" zoomScalePageLayoutView="0" workbookViewId="0" topLeftCell="A1">
      <pane xSplit="2" ySplit="7" topLeftCell="AH20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S28" sqref="AS28"/>
    </sheetView>
  </sheetViews>
  <sheetFormatPr defaultColWidth="10.66015625" defaultRowHeight="10.5"/>
  <cols>
    <col min="1" max="1" width="57.83203125" style="31" customWidth="1"/>
    <col min="2" max="2" width="8.83203125" style="35" customWidth="1"/>
    <col min="3" max="6" width="11.33203125" style="31" hidden="1" customWidth="1"/>
    <col min="7" max="10" width="10.33203125" style="31" hidden="1" customWidth="1"/>
    <col min="11" max="14" width="0" style="31" hidden="1" customWidth="1"/>
    <col min="15" max="20" width="9.33203125" style="31" hidden="1" customWidth="1"/>
    <col min="21" max="33" width="0" style="31" hidden="1" customWidth="1"/>
    <col min="34" max="37" width="11.33203125" style="31" customWidth="1"/>
    <col min="38" max="41" width="10.33203125" style="31" customWidth="1"/>
    <col min="42" max="45" width="10.66015625" style="31" customWidth="1"/>
    <col min="46" max="51" width="9.33203125" style="31" customWidth="1"/>
    <col min="52" max="53" width="10.66015625" style="31" customWidth="1"/>
    <col min="54" max="54" width="0" style="31" hidden="1" customWidth="1"/>
    <col min="55" max="16384" width="10.66015625" style="31" customWidth="1"/>
  </cols>
  <sheetData>
    <row r="1" spans="1:56" s="5" customFormat="1" ht="43.5" customHeight="1">
      <c r="A1" s="1155" t="str">
        <f>'t1'!A1</f>
        <v>COMPARTO AFAM - anno 2016</v>
      </c>
      <c r="B1" s="1155"/>
      <c r="C1" s="1155"/>
      <c r="D1" s="1155"/>
      <c r="E1" s="1155"/>
      <c r="F1" s="1155"/>
      <c r="G1" s="1155"/>
      <c r="H1" s="1155"/>
      <c r="I1" s="1155"/>
      <c r="J1" s="1155"/>
      <c r="K1" s="42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AP1" s="42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</row>
    <row r="2" spans="1:41" ht="30" customHeight="1" thickBot="1">
      <c r="A2" s="28"/>
      <c r="B2" s="29"/>
      <c r="C2" s="30"/>
      <c r="D2" s="30"/>
      <c r="E2" s="30"/>
      <c r="F2" s="30"/>
      <c r="G2" s="1156"/>
      <c r="H2" s="1156"/>
      <c r="I2" s="1156"/>
      <c r="J2" s="1156"/>
      <c r="AH2" s="30"/>
      <c r="AI2" s="30"/>
      <c r="AJ2" s="30"/>
      <c r="AK2" s="30"/>
      <c r="AL2" s="1156"/>
      <c r="AM2" s="1156"/>
      <c r="AN2" s="1156"/>
      <c r="AO2" s="1156"/>
    </row>
    <row r="3" spans="1:53" ht="15.75" customHeight="1" thickBot="1">
      <c r="A3" s="302"/>
      <c r="B3" s="307"/>
      <c r="C3" s="308" t="s">
        <v>263</v>
      </c>
      <c r="D3" s="308"/>
      <c r="E3" s="308"/>
      <c r="F3" s="308"/>
      <c r="G3" s="308"/>
      <c r="H3" s="309"/>
      <c r="I3" s="308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AH3" s="308" t="s">
        <v>263</v>
      </c>
      <c r="AI3" s="308"/>
      <c r="AJ3" s="308"/>
      <c r="AK3" s="308"/>
      <c r="AL3" s="308"/>
      <c r="AM3" s="309"/>
      <c r="AN3" s="308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</row>
    <row r="4" spans="1:53" ht="37.5" customHeight="1" thickTop="1">
      <c r="A4" s="32" t="s">
        <v>152</v>
      </c>
      <c r="B4" s="33" t="s">
        <v>78</v>
      </c>
      <c r="C4" s="510" t="s">
        <v>84</v>
      </c>
      <c r="D4" s="511"/>
      <c r="E4" s="1204" t="s">
        <v>394</v>
      </c>
      <c r="F4" s="1205"/>
      <c r="G4" s="1206" t="s">
        <v>421</v>
      </c>
      <c r="H4" s="1181"/>
      <c r="I4" s="1206" t="s">
        <v>393</v>
      </c>
      <c r="J4" s="1181"/>
      <c r="K4" s="1207" t="s">
        <v>392</v>
      </c>
      <c r="L4" s="1181"/>
      <c r="M4" s="1201" t="s">
        <v>391</v>
      </c>
      <c r="N4" s="1181"/>
      <c r="O4" s="1201" t="s">
        <v>364</v>
      </c>
      <c r="P4" s="1181"/>
      <c r="Q4" s="1201" t="s">
        <v>197</v>
      </c>
      <c r="R4" s="1181"/>
      <c r="S4" s="1201" t="s">
        <v>66</v>
      </c>
      <c r="T4" s="1181"/>
      <c r="U4" s="420" t="s">
        <v>82</v>
      </c>
      <c r="V4" s="419"/>
      <c r="AH4" s="510" t="s">
        <v>84</v>
      </c>
      <c r="AI4" s="511"/>
      <c r="AJ4" s="1204" t="s">
        <v>394</v>
      </c>
      <c r="AK4" s="1205"/>
      <c r="AL4" s="1206" t="s">
        <v>421</v>
      </c>
      <c r="AM4" s="1181"/>
      <c r="AN4" s="1206" t="s">
        <v>393</v>
      </c>
      <c r="AO4" s="1181"/>
      <c r="AP4" s="1207" t="s">
        <v>392</v>
      </c>
      <c r="AQ4" s="1181"/>
      <c r="AR4" s="1201" t="s">
        <v>391</v>
      </c>
      <c r="AS4" s="1181"/>
      <c r="AT4" s="1201" t="s">
        <v>364</v>
      </c>
      <c r="AU4" s="1181"/>
      <c r="AV4" s="1201" t="s">
        <v>197</v>
      </c>
      <c r="AW4" s="1181"/>
      <c r="AX4" s="1201" t="s">
        <v>66</v>
      </c>
      <c r="AY4" s="1181"/>
      <c r="AZ4" s="420" t="s">
        <v>82</v>
      </c>
      <c r="BA4" s="419"/>
    </row>
    <row r="5" spans="1:53" ht="11.25">
      <c r="A5" s="32"/>
      <c r="B5" s="33"/>
      <c r="C5" s="1202" t="s">
        <v>304</v>
      </c>
      <c r="D5" s="1203"/>
      <c r="E5" s="1202" t="s">
        <v>395</v>
      </c>
      <c r="F5" s="1203"/>
      <c r="G5" s="1202" t="s">
        <v>420</v>
      </c>
      <c r="H5" s="1203"/>
      <c r="I5" s="1202" t="s">
        <v>396</v>
      </c>
      <c r="J5" s="1203"/>
      <c r="K5" s="1202" t="s">
        <v>397</v>
      </c>
      <c r="L5" s="1203"/>
      <c r="M5" s="1199" t="s">
        <v>398</v>
      </c>
      <c r="N5" s="1200"/>
      <c r="O5" s="1199" t="s">
        <v>305</v>
      </c>
      <c r="P5" s="1200"/>
      <c r="Q5" s="1199" t="s">
        <v>306</v>
      </c>
      <c r="R5" s="1200"/>
      <c r="S5" s="1199" t="s">
        <v>331</v>
      </c>
      <c r="T5" s="1200"/>
      <c r="U5" s="422"/>
      <c r="V5" s="491"/>
      <c r="AH5" s="1202" t="s">
        <v>304</v>
      </c>
      <c r="AI5" s="1203"/>
      <c r="AJ5" s="1202" t="s">
        <v>395</v>
      </c>
      <c r="AK5" s="1203"/>
      <c r="AL5" s="1202" t="s">
        <v>420</v>
      </c>
      <c r="AM5" s="1203"/>
      <c r="AN5" s="1202" t="s">
        <v>396</v>
      </c>
      <c r="AO5" s="1203"/>
      <c r="AP5" s="1202" t="s">
        <v>397</v>
      </c>
      <c r="AQ5" s="1203"/>
      <c r="AR5" s="1199" t="s">
        <v>398</v>
      </c>
      <c r="AS5" s="1200"/>
      <c r="AT5" s="1199" t="s">
        <v>305</v>
      </c>
      <c r="AU5" s="1200"/>
      <c r="AV5" s="1199" t="s">
        <v>306</v>
      </c>
      <c r="AW5" s="1200"/>
      <c r="AX5" s="1199" t="s">
        <v>331</v>
      </c>
      <c r="AY5" s="1200"/>
      <c r="AZ5" s="422"/>
      <c r="BA5" s="491"/>
    </row>
    <row r="6" spans="1:53" ht="12" customHeight="1">
      <c r="A6" s="914" t="s">
        <v>687</v>
      </c>
      <c r="B6" s="33"/>
      <c r="C6" s="282" t="s">
        <v>80</v>
      </c>
      <c r="D6" s="423" t="s">
        <v>81</v>
      </c>
      <c r="E6" s="282" t="s">
        <v>80</v>
      </c>
      <c r="F6" s="423" t="s">
        <v>81</v>
      </c>
      <c r="G6" s="282" t="s">
        <v>80</v>
      </c>
      <c r="H6" s="423" t="s">
        <v>81</v>
      </c>
      <c r="I6" s="282" t="s">
        <v>80</v>
      </c>
      <c r="J6" s="423" t="s">
        <v>81</v>
      </c>
      <c r="K6" s="282" t="s">
        <v>80</v>
      </c>
      <c r="L6" s="423" t="s">
        <v>81</v>
      </c>
      <c r="M6" s="282" t="s">
        <v>80</v>
      </c>
      <c r="N6" s="423" t="s">
        <v>81</v>
      </c>
      <c r="O6" s="282" t="s">
        <v>80</v>
      </c>
      <c r="P6" s="658" t="s">
        <v>81</v>
      </c>
      <c r="Q6" s="282" t="s">
        <v>80</v>
      </c>
      <c r="R6" s="658" t="s">
        <v>81</v>
      </c>
      <c r="S6" s="282" t="s">
        <v>80</v>
      </c>
      <c r="T6" s="654" t="s">
        <v>81</v>
      </c>
      <c r="U6" s="282" t="s">
        <v>80</v>
      </c>
      <c r="V6" s="423" t="s">
        <v>81</v>
      </c>
      <c r="AH6" s="282" t="s">
        <v>80</v>
      </c>
      <c r="AI6" s="423" t="s">
        <v>81</v>
      </c>
      <c r="AJ6" s="282" t="s">
        <v>80</v>
      </c>
      <c r="AK6" s="423" t="s">
        <v>81</v>
      </c>
      <c r="AL6" s="282" t="s">
        <v>80</v>
      </c>
      <c r="AM6" s="423" t="s">
        <v>81</v>
      </c>
      <c r="AN6" s="282" t="s">
        <v>80</v>
      </c>
      <c r="AO6" s="423" t="s">
        <v>81</v>
      </c>
      <c r="AP6" s="282" t="s">
        <v>80</v>
      </c>
      <c r="AQ6" s="423" t="s">
        <v>81</v>
      </c>
      <c r="AR6" s="282" t="s">
        <v>80</v>
      </c>
      <c r="AS6" s="423" t="s">
        <v>81</v>
      </c>
      <c r="AT6" s="282" t="s">
        <v>80</v>
      </c>
      <c r="AU6" s="658" t="s">
        <v>81</v>
      </c>
      <c r="AV6" s="282" t="s">
        <v>80</v>
      </c>
      <c r="AW6" s="658" t="s">
        <v>81</v>
      </c>
      <c r="AX6" s="282" t="s">
        <v>80</v>
      </c>
      <c r="AY6" s="654" t="s">
        <v>81</v>
      </c>
      <c r="AZ6" s="282" t="s">
        <v>80</v>
      </c>
      <c r="BA6" s="423" t="s">
        <v>81</v>
      </c>
    </row>
    <row r="7" spans="1:53" s="293" customFormat="1" ht="9" thickBot="1">
      <c r="A7" s="913"/>
      <c r="B7" s="499"/>
      <c r="C7" s="291" t="s">
        <v>85</v>
      </c>
      <c r="D7" s="292" t="s">
        <v>85</v>
      </c>
      <c r="E7" s="291" t="s">
        <v>85</v>
      </c>
      <c r="F7" s="292" t="s">
        <v>85</v>
      </c>
      <c r="G7" s="291" t="s">
        <v>85</v>
      </c>
      <c r="H7" s="292" t="s">
        <v>85</v>
      </c>
      <c r="I7" s="291" t="s">
        <v>85</v>
      </c>
      <c r="J7" s="292" t="s">
        <v>85</v>
      </c>
      <c r="K7" s="291" t="s">
        <v>85</v>
      </c>
      <c r="L7" s="292" t="s">
        <v>85</v>
      </c>
      <c r="M7" s="291" t="s">
        <v>85</v>
      </c>
      <c r="N7" s="292" t="s">
        <v>85</v>
      </c>
      <c r="O7" s="291" t="s">
        <v>85</v>
      </c>
      <c r="P7" s="659" t="s">
        <v>85</v>
      </c>
      <c r="Q7" s="291" t="s">
        <v>85</v>
      </c>
      <c r="R7" s="659" t="s">
        <v>85</v>
      </c>
      <c r="S7" s="291" t="s">
        <v>85</v>
      </c>
      <c r="T7" s="659" t="s">
        <v>85</v>
      </c>
      <c r="U7" s="664" t="s">
        <v>85</v>
      </c>
      <c r="V7" s="564" t="s">
        <v>85</v>
      </c>
      <c r="AH7" s="291" t="s">
        <v>85</v>
      </c>
      <c r="AI7" s="292" t="s">
        <v>85</v>
      </c>
      <c r="AJ7" s="291" t="s">
        <v>85</v>
      </c>
      <c r="AK7" s="292" t="s">
        <v>85</v>
      </c>
      <c r="AL7" s="291" t="s">
        <v>85</v>
      </c>
      <c r="AM7" s="292" t="s">
        <v>85</v>
      </c>
      <c r="AN7" s="291" t="s">
        <v>85</v>
      </c>
      <c r="AO7" s="292" t="s">
        <v>85</v>
      </c>
      <c r="AP7" s="291" t="s">
        <v>85</v>
      </c>
      <c r="AQ7" s="292" t="s">
        <v>85</v>
      </c>
      <c r="AR7" s="291" t="s">
        <v>85</v>
      </c>
      <c r="AS7" s="292" t="s">
        <v>85</v>
      </c>
      <c r="AT7" s="291" t="s">
        <v>85</v>
      </c>
      <c r="AU7" s="659" t="s">
        <v>85</v>
      </c>
      <c r="AV7" s="291" t="s">
        <v>85</v>
      </c>
      <c r="AW7" s="659" t="s">
        <v>85</v>
      </c>
      <c r="AX7" s="291" t="s">
        <v>85</v>
      </c>
      <c r="AY7" s="659" t="s">
        <v>85</v>
      </c>
      <c r="AZ7" s="664" t="s">
        <v>85</v>
      </c>
      <c r="BA7" s="564" t="s">
        <v>85</v>
      </c>
    </row>
    <row r="8" spans="1:54" ht="12.75" customHeight="1" thickTop="1">
      <c r="A8" s="25" t="str">
        <f>'t1'!A6</f>
        <v>DIRIGENTE SCOLASTICO</v>
      </c>
      <c r="B8" s="236" t="str">
        <f>'t1'!B6</f>
        <v>0D0158</v>
      </c>
      <c r="C8" s="939">
        <f>ROUND(AH8,0)</f>
        <v>0</v>
      </c>
      <c r="D8" s="940">
        <f aca="true" t="shared" si="0" ref="D8:D32">ROUND(AI8,0)</f>
        <v>0</v>
      </c>
      <c r="E8" s="939">
        <f aca="true" t="shared" si="1" ref="E8:E32">ROUND(AJ8,0)</f>
        <v>0</v>
      </c>
      <c r="F8" s="940">
        <f aca="true" t="shared" si="2" ref="F8:F32">ROUND(AK8,0)</f>
        <v>0</v>
      </c>
      <c r="G8" s="939">
        <f aca="true" t="shared" si="3" ref="G8:G32">ROUND(AL8,0)</f>
        <v>0</v>
      </c>
      <c r="H8" s="940">
        <f aca="true" t="shared" si="4" ref="H8:H32">ROUND(AM8,0)</f>
        <v>0</v>
      </c>
      <c r="I8" s="939">
        <f aca="true" t="shared" si="5" ref="I8:I32">ROUND(AN8,0)</f>
        <v>0</v>
      </c>
      <c r="J8" s="940">
        <f aca="true" t="shared" si="6" ref="J8:J32">ROUND(AO8,0)</f>
        <v>0</v>
      </c>
      <c r="K8" s="939">
        <f aca="true" t="shared" si="7" ref="K8:K32">ROUND(AP8,0)</f>
        <v>0</v>
      </c>
      <c r="L8" s="940">
        <f aca="true" t="shared" si="8" ref="L8:L32">ROUND(AQ8,0)</f>
        <v>0</v>
      </c>
      <c r="M8" s="939">
        <f aca="true" t="shared" si="9" ref="M8:M32">ROUND(AR8,0)</f>
        <v>0</v>
      </c>
      <c r="N8" s="940">
        <f aca="true" t="shared" si="10" ref="N8:N32">ROUND(AS8,0)</f>
        <v>0</v>
      </c>
      <c r="O8" s="941">
        <f aca="true" t="shared" si="11" ref="O8:O32">ROUND(AT8,0)</f>
        <v>0</v>
      </c>
      <c r="P8" s="942">
        <f aca="true" t="shared" si="12" ref="P8:P32">ROUND(AU8,0)</f>
        <v>0</v>
      </c>
      <c r="Q8" s="941">
        <f aca="true" t="shared" si="13" ref="Q8:Q32">ROUND(AV8,0)</f>
        <v>0</v>
      </c>
      <c r="R8" s="942">
        <f aca="true" t="shared" si="14" ref="R8:R32">ROUND(AW8,0)</f>
        <v>0</v>
      </c>
      <c r="S8" s="941">
        <f aca="true" t="shared" si="15" ref="S8:S32">ROUND(AX8,0)</f>
        <v>0</v>
      </c>
      <c r="T8" s="943">
        <f aca="true" t="shared" si="16" ref="T8:T32">ROUND(AY8,0)</f>
        <v>0</v>
      </c>
      <c r="U8" s="665">
        <f aca="true" t="shared" si="17" ref="U8:U32">ROUND(AZ8,0)</f>
        <v>0</v>
      </c>
      <c r="V8" s="666">
        <f aca="true" t="shared" si="18" ref="V8:V32">ROUND(BA8,0)</f>
        <v>0</v>
      </c>
      <c r="W8" s="31">
        <f>'t1'!N6</f>
        <v>0</v>
      </c>
      <c r="AH8" s="278"/>
      <c r="AI8" s="279"/>
      <c r="AJ8" s="278"/>
      <c r="AK8" s="279"/>
      <c r="AL8" s="278"/>
      <c r="AM8" s="279"/>
      <c r="AN8" s="278"/>
      <c r="AO8" s="279"/>
      <c r="AP8" s="278"/>
      <c r="AQ8" s="279"/>
      <c r="AR8" s="278"/>
      <c r="AS8" s="279"/>
      <c r="AT8" s="663"/>
      <c r="AU8" s="660"/>
      <c r="AV8" s="663"/>
      <c r="AW8" s="660"/>
      <c r="AX8" s="663"/>
      <c r="AY8" s="655"/>
      <c r="AZ8" s="665">
        <f>SUM(AH8,AJ8,AL8,AN8,AP8,AR8,AT8,AV8,AX8)</f>
        <v>0</v>
      </c>
      <c r="BA8" s="666">
        <f>SUM(AI8,AK8,AM8,AO8,AQ8,AS8,AU8,AW8,AY8)</f>
        <v>0</v>
      </c>
      <c r="BB8" s="31">
        <f>'t1'!AS6</f>
        <v>0</v>
      </c>
    </row>
    <row r="9" spans="1:54" ht="12.75" customHeight="1">
      <c r="A9" s="155" t="str">
        <f>'t1'!A7</f>
        <v>PROFESSORI DI PRIMA FASCIA</v>
      </c>
      <c r="B9" s="229" t="str">
        <f>'t1'!B7</f>
        <v>018P01</v>
      </c>
      <c r="C9" s="944">
        <f aca="true" t="shared" si="19" ref="C9:C32">ROUND(AH9,0)</f>
        <v>210</v>
      </c>
      <c r="D9" s="945">
        <f t="shared" si="0"/>
        <v>120</v>
      </c>
      <c r="E9" s="944">
        <f t="shared" si="1"/>
        <v>15</v>
      </c>
      <c r="F9" s="945">
        <f t="shared" si="2"/>
        <v>8</v>
      </c>
      <c r="G9" s="944">
        <f t="shared" si="3"/>
        <v>0</v>
      </c>
      <c r="H9" s="945">
        <f t="shared" si="4"/>
        <v>0</v>
      </c>
      <c r="I9" s="944">
        <f t="shared" si="5"/>
        <v>0</v>
      </c>
      <c r="J9" s="945">
        <f t="shared" si="6"/>
        <v>0</v>
      </c>
      <c r="K9" s="944">
        <f t="shared" si="7"/>
        <v>3</v>
      </c>
      <c r="L9" s="945">
        <f t="shared" si="8"/>
        <v>1</v>
      </c>
      <c r="M9" s="944">
        <f t="shared" si="9"/>
        <v>0</v>
      </c>
      <c r="N9" s="945">
        <f t="shared" si="10"/>
        <v>0</v>
      </c>
      <c r="O9" s="944">
        <f t="shared" si="11"/>
        <v>0</v>
      </c>
      <c r="P9" s="946">
        <f t="shared" si="12"/>
        <v>0</v>
      </c>
      <c r="Q9" s="944">
        <f t="shared" si="13"/>
        <v>0</v>
      </c>
      <c r="R9" s="946">
        <f t="shared" si="14"/>
        <v>0</v>
      </c>
      <c r="S9" s="944">
        <f t="shared" si="15"/>
        <v>0</v>
      </c>
      <c r="T9" s="947">
        <f t="shared" si="16"/>
        <v>0</v>
      </c>
      <c r="U9" s="563">
        <f t="shared" si="17"/>
        <v>228</v>
      </c>
      <c r="V9" s="565">
        <f t="shared" si="18"/>
        <v>129</v>
      </c>
      <c r="W9" s="31">
        <f>'t1'!N7</f>
        <v>9</v>
      </c>
      <c r="AH9" s="280">
        <v>210</v>
      </c>
      <c r="AI9" s="281">
        <v>120</v>
      </c>
      <c r="AJ9" s="280">
        <v>15</v>
      </c>
      <c r="AK9" s="281">
        <v>8</v>
      </c>
      <c r="AL9" s="280"/>
      <c r="AM9" s="281"/>
      <c r="AN9" s="280"/>
      <c r="AO9" s="281"/>
      <c r="AP9" s="280">
        <v>3</v>
      </c>
      <c r="AQ9" s="281">
        <v>1</v>
      </c>
      <c r="AR9" s="280"/>
      <c r="AS9" s="281"/>
      <c r="AT9" s="280"/>
      <c r="AU9" s="661"/>
      <c r="AV9" s="280"/>
      <c r="AW9" s="661"/>
      <c r="AX9" s="280"/>
      <c r="AY9" s="656"/>
      <c r="AZ9" s="563">
        <f aca="true" t="shared" si="20" ref="AZ9:AZ32">SUM(AH9,AJ9,AL9,AN9,AP9,AR9,AT9,AV9,AX9)</f>
        <v>228</v>
      </c>
      <c r="BA9" s="565">
        <f aca="true" t="shared" si="21" ref="BA9:BA32">SUM(AI9,AK9,AM9,AO9,AQ9,AS9,AU9,AW9,AY9)</f>
        <v>129</v>
      </c>
      <c r="BB9" s="31">
        <f>'t1'!AS7</f>
        <v>0</v>
      </c>
    </row>
    <row r="10" spans="1:54" ht="12.75" customHeight="1">
      <c r="A10" s="155" t="str">
        <f>'t1'!A8</f>
        <v>PROFESSORI DI SECONDA FASCIA</v>
      </c>
      <c r="B10" s="229" t="str">
        <f>'t1'!B8</f>
        <v>016P02</v>
      </c>
      <c r="C10" s="944">
        <f t="shared" si="19"/>
        <v>90</v>
      </c>
      <c r="D10" s="945">
        <f t="shared" si="0"/>
        <v>180</v>
      </c>
      <c r="E10" s="944">
        <f t="shared" si="1"/>
        <v>65</v>
      </c>
      <c r="F10" s="945">
        <f t="shared" si="2"/>
        <v>7</v>
      </c>
      <c r="G10" s="944">
        <f t="shared" si="3"/>
        <v>0</v>
      </c>
      <c r="H10" s="945">
        <f t="shared" si="4"/>
        <v>0</v>
      </c>
      <c r="I10" s="944">
        <f t="shared" si="5"/>
        <v>0</v>
      </c>
      <c r="J10" s="945">
        <f t="shared" si="6"/>
        <v>0</v>
      </c>
      <c r="K10" s="944">
        <f t="shared" si="7"/>
        <v>3</v>
      </c>
      <c r="L10" s="945">
        <f t="shared" si="8"/>
        <v>6</v>
      </c>
      <c r="M10" s="944">
        <f t="shared" si="9"/>
        <v>0</v>
      </c>
      <c r="N10" s="945">
        <f t="shared" si="10"/>
        <v>0</v>
      </c>
      <c r="O10" s="944">
        <f t="shared" si="11"/>
        <v>0</v>
      </c>
      <c r="P10" s="946">
        <f t="shared" si="12"/>
        <v>0</v>
      </c>
      <c r="Q10" s="944">
        <f t="shared" si="13"/>
        <v>0</v>
      </c>
      <c r="R10" s="946">
        <f t="shared" si="14"/>
        <v>0</v>
      </c>
      <c r="S10" s="944">
        <f t="shared" si="15"/>
        <v>0</v>
      </c>
      <c r="T10" s="947">
        <f t="shared" si="16"/>
        <v>0</v>
      </c>
      <c r="U10" s="563">
        <f t="shared" si="17"/>
        <v>158</v>
      </c>
      <c r="V10" s="565">
        <f t="shared" si="18"/>
        <v>193</v>
      </c>
      <c r="W10" s="31">
        <f>'t1'!N8</f>
        <v>7</v>
      </c>
      <c r="AH10" s="280">
        <v>90</v>
      </c>
      <c r="AI10" s="281">
        <v>180</v>
      </c>
      <c r="AJ10" s="280">
        <v>65</v>
      </c>
      <c r="AK10" s="281">
        <v>7</v>
      </c>
      <c r="AL10" s="280"/>
      <c r="AM10" s="281"/>
      <c r="AN10" s="280"/>
      <c r="AO10" s="281"/>
      <c r="AP10" s="280">
        <v>3</v>
      </c>
      <c r="AQ10" s="281">
        <v>6</v>
      </c>
      <c r="AR10" s="280"/>
      <c r="AS10" s="281"/>
      <c r="AT10" s="280"/>
      <c r="AU10" s="661"/>
      <c r="AV10" s="280"/>
      <c r="AW10" s="661"/>
      <c r="AX10" s="280"/>
      <c r="AY10" s="656"/>
      <c r="AZ10" s="563">
        <f t="shared" si="20"/>
        <v>158</v>
      </c>
      <c r="BA10" s="565">
        <f t="shared" si="21"/>
        <v>193</v>
      </c>
      <c r="BB10" s="31">
        <f>'t1'!AS8</f>
        <v>0</v>
      </c>
    </row>
    <row r="11" spans="1:54" ht="12.75" customHeight="1">
      <c r="A11" s="155" t="str">
        <f>'t1'!A9</f>
        <v>DIRETTORE AMMINISTRATIVO EP2</v>
      </c>
      <c r="B11" s="229" t="str">
        <f>'t1'!B9</f>
        <v>013504</v>
      </c>
      <c r="C11" s="944">
        <f t="shared" si="19"/>
        <v>0</v>
      </c>
      <c r="D11" s="945">
        <f t="shared" si="0"/>
        <v>30</v>
      </c>
      <c r="E11" s="944">
        <f t="shared" si="1"/>
        <v>0</v>
      </c>
      <c r="F11" s="945">
        <f t="shared" si="2"/>
        <v>15</v>
      </c>
      <c r="G11" s="944">
        <f t="shared" si="3"/>
        <v>0</v>
      </c>
      <c r="H11" s="945">
        <f t="shared" si="4"/>
        <v>0</v>
      </c>
      <c r="I11" s="944">
        <f t="shared" si="5"/>
        <v>0</v>
      </c>
      <c r="J11" s="945">
        <f t="shared" si="6"/>
        <v>0</v>
      </c>
      <c r="K11" s="944">
        <f t="shared" si="7"/>
        <v>0</v>
      </c>
      <c r="L11" s="945">
        <f t="shared" si="8"/>
        <v>0</v>
      </c>
      <c r="M11" s="944">
        <f t="shared" si="9"/>
        <v>0</v>
      </c>
      <c r="N11" s="945">
        <f t="shared" si="10"/>
        <v>33</v>
      </c>
      <c r="O11" s="944">
        <f t="shared" si="11"/>
        <v>0</v>
      </c>
      <c r="P11" s="946">
        <f t="shared" si="12"/>
        <v>0</v>
      </c>
      <c r="Q11" s="944">
        <f t="shared" si="13"/>
        <v>0</v>
      </c>
      <c r="R11" s="946">
        <f t="shared" si="14"/>
        <v>0</v>
      </c>
      <c r="S11" s="944">
        <f t="shared" si="15"/>
        <v>0</v>
      </c>
      <c r="T11" s="947">
        <f t="shared" si="16"/>
        <v>1</v>
      </c>
      <c r="U11" s="563">
        <f t="shared" si="17"/>
        <v>0</v>
      </c>
      <c r="V11" s="565">
        <f t="shared" si="18"/>
        <v>79</v>
      </c>
      <c r="W11" s="31">
        <f>'t1'!N9</f>
        <v>1</v>
      </c>
      <c r="AH11" s="280"/>
      <c r="AI11" s="281">
        <v>30</v>
      </c>
      <c r="AJ11" s="280"/>
      <c r="AK11" s="281">
        <v>15</v>
      </c>
      <c r="AL11" s="280"/>
      <c r="AM11" s="281"/>
      <c r="AN11" s="280"/>
      <c r="AO11" s="281"/>
      <c r="AP11" s="280"/>
      <c r="AQ11" s="281"/>
      <c r="AR11" s="280"/>
      <c r="AS11" s="281">
        <v>33</v>
      </c>
      <c r="AT11" s="280"/>
      <c r="AU11" s="661"/>
      <c r="AV11" s="280"/>
      <c r="AW11" s="661"/>
      <c r="AX11" s="280"/>
      <c r="AY11" s="656">
        <v>1</v>
      </c>
      <c r="AZ11" s="563">
        <f t="shared" si="20"/>
        <v>0</v>
      </c>
      <c r="BA11" s="565">
        <f t="shared" si="21"/>
        <v>79</v>
      </c>
      <c r="BB11" s="31">
        <f>'t1'!AS9</f>
        <v>0</v>
      </c>
    </row>
    <row r="12" spans="1:54" ht="12.75" customHeight="1">
      <c r="A12" s="155" t="str">
        <f>'t1'!A10</f>
        <v>DIRETTORE DELL UFFICIO DI RAGIONERIA (EP1)</v>
      </c>
      <c r="B12" s="229" t="str">
        <f>'t1'!B10</f>
        <v>013159</v>
      </c>
      <c r="C12" s="944">
        <f t="shared" si="19"/>
        <v>0</v>
      </c>
      <c r="D12" s="945">
        <f t="shared" si="0"/>
        <v>22</v>
      </c>
      <c r="E12" s="944">
        <f t="shared" si="1"/>
        <v>0</v>
      </c>
      <c r="F12" s="945">
        <f t="shared" si="2"/>
        <v>26</v>
      </c>
      <c r="G12" s="944">
        <f t="shared" si="3"/>
        <v>0</v>
      </c>
      <c r="H12" s="945">
        <f t="shared" si="4"/>
        <v>0</v>
      </c>
      <c r="I12" s="944">
        <f t="shared" si="5"/>
        <v>0</v>
      </c>
      <c r="J12" s="945">
        <f t="shared" si="6"/>
        <v>33</v>
      </c>
      <c r="K12" s="944">
        <f t="shared" si="7"/>
        <v>0</v>
      </c>
      <c r="L12" s="945">
        <f t="shared" si="8"/>
        <v>0</v>
      </c>
      <c r="M12" s="944">
        <f t="shared" si="9"/>
        <v>0</v>
      </c>
      <c r="N12" s="945">
        <f t="shared" si="10"/>
        <v>3</v>
      </c>
      <c r="O12" s="944">
        <f t="shared" si="11"/>
        <v>0</v>
      </c>
      <c r="P12" s="946">
        <f t="shared" si="12"/>
        <v>0</v>
      </c>
      <c r="Q12" s="944">
        <f t="shared" si="13"/>
        <v>0</v>
      </c>
      <c r="R12" s="946">
        <f t="shared" si="14"/>
        <v>0</v>
      </c>
      <c r="S12" s="944">
        <f t="shared" si="15"/>
        <v>0</v>
      </c>
      <c r="T12" s="947">
        <f t="shared" si="16"/>
        <v>1</v>
      </c>
      <c r="U12" s="563">
        <f t="shared" si="17"/>
        <v>0</v>
      </c>
      <c r="V12" s="565">
        <f t="shared" si="18"/>
        <v>85</v>
      </c>
      <c r="W12" s="31">
        <f>'t1'!N10</f>
        <v>1</v>
      </c>
      <c r="AH12" s="280"/>
      <c r="AI12" s="281">
        <v>22</v>
      </c>
      <c r="AJ12" s="280"/>
      <c r="AK12" s="281">
        <v>26</v>
      </c>
      <c r="AL12" s="280"/>
      <c r="AM12" s="281"/>
      <c r="AN12" s="280"/>
      <c r="AO12" s="281">
        <v>33</v>
      </c>
      <c r="AP12" s="280"/>
      <c r="AQ12" s="281"/>
      <c r="AR12" s="280"/>
      <c r="AS12" s="281">
        <v>3</v>
      </c>
      <c r="AT12" s="280"/>
      <c r="AU12" s="661"/>
      <c r="AV12" s="280"/>
      <c r="AW12" s="661"/>
      <c r="AX12" s="280"/>
      <c r="AY12" s="656">
        <v>1</v>
      </c>
      <c r="AZ12" s="563">
        <f t="shared" si="20"/>
        <v>0</v>
      </c>
      <c r="BA12" s="565">
        <f t="shared" si="21"/>
        <v>85</v>
      </c>
      <c r="BB12" s="31">
        <f>'t1'!AS10</f>
        <v>0</v>
      </c>
    </row>
    <row r="13" spans="1:54" ht="12.75" customHeight="1">
      <c r="A13" s="155" t="str">
        <f>'t1'!A11</f>
        <v>COORDINATORE DI BIBLIOTECA TECNICO E AMMINISTRATIVO(D)</v>
      </c>
      <c r="B13" s="229" t="str">
        <f>'t1'!B11</f>
        <v>013DTE</v>
      </c>
      <c r="C13" s="944">
        <f t="shared" si="19"/>
        <v>0</v>
      </c>
      <c r="D13" s="945">
        <f t="shared" si="0"/>
        <v>0</v>
      </c>
      <c r="E13" s="944">
        <f t="shared" si="1"/>
        <v>0</v>
      </c>
      <c r="F13" s="945">
        <f t="shared" si="2"/>
        <v>0</v>
      </c>
      <c r="G13" s="944">
        <f t="shared" si="3"/>
        <v>0</v>
      </c>
      <c r="H13" s="945">
        <f t="shared" si="4"/>
        <v>0</v>
      </c>
      <c r="I13" s="944">
        <f t="shared" si="5"/>
        <v>0</v>
      </c>
      <c r="J13" s="945">
        <f t="shared" si="6"/>
        <v>0</v>
      </c>
      <c r="K13" s="944">
        <f t="shared" si="7"/>
        <v>0</v>
      </c>
      <c r="L13" s="945">
        <f t="shared" si="8"/>
        <v>0</v>
      </c>
      <c r="M13" s="944">
        <f t="shared" si="9"/>
        <v>0</v>
      </c>
      <c r="N13" s="945">
        <f t="shared" si="10"/>
        <v>0</v>
      </c>
      <c r="O13" s="944">
        <f t="shared" si="11"/>
        <v>0</v>
      </c>
      <c r="P13" s="946">
        <f t="shared" si="12"/>
        <v>0</v>
      </c>
      <c r="Q13" s="944">
        <f t="shared" si="13"/>
        <v>0</v>
      </c>
      <c r="R13" s="946">
        <f t="shared" si="14"/>
        <v>0</v>
      </c>
      <c r="S13" s="944">
        <f t="shared" si="15"/>
        <v>0</v>
      </c>
      <c r="T13" s="947">
        <f t="shared" si="16"/>
        <v>0</v>
      </c>
      <c r="U13" s="563">
        <f t="shared" si="17"/>
        <v>0</v>
      </c>
      <c r="V13" s="565">
        <f t="shared" si="18"/>
        <v>0</v>
      </c>
      <c r="W13" s="31">
        <f>'t1'!N11</f>
        <v>0</v>
      </c>
      <c r="AH13" s="280"/>
      <c r="AI13" s="281"/>
      <c r="AJ13" s="280"/>
      <c r="AK13" s="281"/>
      <c r="AL13" s="280"/>
      <c r="AM13" s="281"/>
      <c r="AN13" s="280"/>
      <c r="AO13" s="281"/>
      <c r="AP13" s="280"/>
      <c r="AQ13" s="281"/>
      <c r="AR13" s="280"/>
      <c r="AS13" s="281"/>
      <c r="AT13" s="280"/>
      <c r="AU13" s="661"/>
      <c r="AV13" s="280"/>
      <c r="AW13" s="661"/>
      <c r="AX13" s="280"/>
      <c r="AY13" s="656"/>
      <c r="AZ13" s="563">
        <f t="shared" si="20"/>
        <v>0</v>
      </c>
      <c r="BA13" s="565">
        <f t="shared" si="21"/>
        <v>0</v>
      </c>
      <c r="BB13" s="31">
        <f>'t1'!AS11</f>
        <v>0</v>
      </c>
    </row>
    <row r="14" spans="1:54" ht="12.75" customHeight="1">
      <c r="A14" s="155" t="str">
        <f>'t1'!A12</f>
        <v>COLLABORATORE TEC. AMMIN. DI BIBLIOT. E DI LAB. (C)</v>
      </c>
      <c r="B14" s="229" t="str">
        <f>'t1'!B12</f>
        <v>013CTE</v>
      </c>
      <c r="C14" s="944">
        <f t="shared" si="19"/>
        <v>0</v>
      </c>
      <c r="D14" s="945">
        <f t="shared" si="0"/>
        <v>0</v>
      </c>
      <c r="E14" s="944">
        <f t="shared" si="1"/>
        <v>0</v>
      </c>
      <c r="F14" s="945">
        <f t="shared" si="2"/>
        <v>0</v>
      </c>
      <c r="G14" s="944">
        <f t="shared" si="3"/>
        <v>0</v>
      </c>
      <c r="H14" s="945">
        <f t="shared" si="4"/>
        <v>0</v>
      </c>
      <c r="I14" s="944">
        <f t="shared" si="5"/>
        <v>0</v>
      </c>
      <c r="J14" s="945">
        <f t="shared" si="6"/>
        <v>0</v>
      </c>
      <c r="K14" s="944">
        <f t="shared" si="7"/>
        <v>0</v>
      </c>
      <c r="L14" s="945">
        <f t="shared" si="8"/>
        <v>0</v>
      </c>
      <c r="M14" s="944">
        <f t="shared" si="9"/>
        <v>0</v>
      </c>
      <c r="N14" s="945">
        <f t="shared" si="10"/>
        <v>0</v>
      </c>
      <c r="O14" s="944">
        <f t="shared" si="11"/>
        <v>0</v>
      </c>
      <c r="P14" s="946">
        <f t="shared" si="12"/>
        <v>0</v>
      </c>
      <c r="Q14" s="944">
        <f t="shared" si="13"/>
        <v>0</v>
      </c>
      <c r="R14" s="946">
        <f t="shared" si="14"/>
        <v>0</v>
      </c>
      <c r="S14" s="944">
        <f t="shared" si="15"/>
        <v>0</v>
      </c>
      <c r="T14" s="947">
        <f t="shared" si="16"/>
        <v>0</v>
      </c>
      <c r="U14" s="563">
        <f t="shared" si="17"/>
        <v>0</v>
      </c>
      <c r="V14" s="565">
        <f t="shared" si="18"/>
        <v>0</v>
      </c>
      <c r="W14" s="31">
        <f>'t1'!N12</f>
        <v>0</v>
      </c>
      <c r="AH14" s="280"/>
      <c r="AI14" s="281"/>
      <c r="AJ14" s="280"/>
      <c r="AK14" s="281"/>
      <c r="AL14" s="280"/>
      <c r="AM14" s="281"/>
      <c r="AN14" s="280"/>
      <c r="AO14" s="281"/>
      <c r="AP14" s="280"/>
      <c r="AQ14" s="281"/>
      <c r="AR14" s="280"/>
      <c r="AS14" s="281"/>
      <c r="AT14" s="280"/>
      <c r="AU14" s="661"/>
      <c r="AV14" s="280"/>
      <c r="AW14" s="661"/>
      <c r="AX14" s="280"/>
      <c r="AY14" s="656"/>
      <c r="AZ14" s="563">
        <f t="shared" si="20"/>
        <v>0</v>
      </c>
      <c r="BA14" s="565">
        <f t="shared" si="21"/>
        <v>0</v>
      </c>
      <c r="BB14" s="31">
        <f>'t1'!AS12</f>
        <v>0</v>
      </c>
    </row>
    <row r="15" spans="1:54" ht="12.75" customHeight="1">
      <c r="A15" s="155" t="str">
        <f>'t1'!A13</f>
        <v>ASSISTENTE AMMINISTRATIVO (B)</v>
      </c>
      <c r="B15" s="229" t="str">
        <f>'t1'!B13</f>
        <v>012117</v>
      </c>
      <c r="C15" s="944">
        <f t="shared" si="19"/>
        <v>37</v>
      </c>
      <c r="D15" s="945">
        <f t="shared" si="0"/>
        <v>77</v>
      </c>
      <c r="E15" s="944">
        <f t="shared" si="1"/>
        <v>3</v>
      </c>
      <c r="F15" s="945">
        <f t="shared" si="2"/>
        <v>45</v>
      </c>
      <c r="G15" s="944">
        <f t="shared" si="3"/>
        <v>0</v>
      </c>
      <c r="H15" s="945">
        <f t="shared" si="4"/>
        <v>0</v>
      </c>
      <c r="I15" s="944">
        <f t="shared" si="5"/>
        <v>0</v>
      </c>
      <c r="J15" s="945">
        <f t="shared" si="6"/>
        <v>4</v>
      </c>
      <c r="K15" s="944">
        <f t="shared" si="7"/>
        <v>0</v>
      </c>
      <c r="L15" s="945">
        <f t="shared" si="8"/>
        <v>0</v>
      </c>
      <c r="M15" s="944">
        <f t="shared" si="9"/>
        <v>3</v>
      </c>
      <c r="N15" s="945">
        <f t="shared" si="10"/>
        <v>11</v>
      </c>
      <c r="O15" s="944">
        <f t="shared" si="11"/>
        <v>0</v>
      </c>
      <c r="P15" s="946">
        <f t="shared" si="12"/>
        <v>0</v>
      </c>
      <c r="Q15" s="944">
        <f t="shared" si="13"/>
        <v>0</v>
      </c>
      <c r="R15" s="946">
        <f t="shared" si="14"/>
        <v>0</v>
      </c>
      <c r="S15" s="944">
        <f t="shared" si="15"/>
        <v>1</v>
      </c>
      <c r="T15" s="947">
        <f t="shared" si="16"/>
        <v>4</v>
      </c>
      <c r="U15" s="563">
        <f t="shared" si="17"/>
        <v>44</v>
      </c>
      <c r="V15" s="565">
        <f t="shared" si="18"/>
        <v>141</v>
      </c>
      <c r="W15" s="31">
        <f>'t1'!N13</f>
        <v>4</v>
      </c>
      <c r="AH15" s="280">
        <v>37</v>
      </c>
      <c r="AI15" s="281">
        <v>77</v>
      </c>
      <c r="AJ15" s="280">
        <v>3</v>
      </c>
      <c r="AK15" s="281">
        <v>45</v>
      </c>
      <c r="AL15" s="280"/>
      <c r="AM15" s="281"/>
      <c r="AN15" s="280"/>
      <c r="AO15" s="281">
        <v>4</v>
      </c>
      <c r="AP15" s="280"/>
      <c r="AQ15" s="281"/>
      <c r="AR15" s="280">
        <v>3</v>
      </c>
      <c r="AS15" s="281">
        <v>11</v>
      </c>
      <c r="AT15" s="280"/>
      <c r="AU15" s="661"/>
      <c r="AV15" s="280"/>
      <c r="AW15" s="661"/>
      <c r="AX15" s="280">
        <v>1</v>
      </c>
      <c r="AY15" s="656">
        <v>4</v>
      </c>
      <c r="AZ15" s="563">
        <f t="shared" si="20"/>
        <v>44</v>
      </c>
      <c r="BA15" s="565">
        <f t="shared" si="21"/>
        <v>141</v>
      </c>
      <c r="BB15" s="31">
        <f>'t1'!AS13</f>
        <v>0</v>
      </c>
    </row>
    <row r="16" spans="1:54" ht="12.75" customHeight="1">
      <c r="A16" s="155" t="str">
        <f>'t1'!A14</f>
        <v>COADIUTORE (A)</v>
      </c>
      <c r="B16" s="229" t="str">
        <f>'t1'!B14</f>
        <v>011121</v>
      </c>
      <c r="C16" s="944">
        <f t="shared" si="19"/>
        <v>106</v>
      </c>
      <c r="D16" s="945">
        <f t="shared" si="0"/>
        <v>95</v>
      </c>
      <c r="E16" s="944">
        <f t="shared" si="1"/>
        <v>27</v>
      </c>
      <c r="F16" s="945">
        <f t="shared" si="2"/>
        <v>38</v>
      </c>
      <c r="G16" s="944">
        <f t="shared" si="3"/>
        <v>0</v>
      </c>
      <c r="H16" s="945">
        <f t="shared" si="4"/>
        <v>0</v>
      </c>
      <c r="I16" s="944">
        <f t="shared" si="5"/>
        <v>2</v>
      </c>
      <c r="J16" s="945">
        <f t="shared" si="6"/>
        <v>15</v>
      </c>
      <c r="K16" s="944">
        <f t="shared" si="7"/>
        <v>0</v>
      </c>
      <c r="L16" s="945">
        <f t="shared" si="8"/>
        <v>0</v>
      </c>
      <c r="M16" s="944">
        <f t="shared" si="9"/>
        <v>6</v>
      </c>
      <c r="N16" s="945">
        <f t="shared" si="10"/>
        <v>10</v>
      </c>
      <c r="O16" s="944">
        <f t="shared" si="11"/>
        <v>0</v>
      </c>
      <c r="P16" s="946">
        <f t="shared" si="12"/>
        <v>0</v>
      </c>
      <c r="Q16" s="944">
        <f t="shared" si="13"/>
        <v>0</v>
      </c>
      <c r="R16" s="946">
        <f t="shared" si="14"/>
        <v>0</v>
      </c>
      <c r="S16" s="944">
        <f t="shared" si="15"/>
        <v>0</v>
      </c>
      <c r="T16" s="947">
        <f t="shared" si="16"/>
        <v>0</v>
      </c>
      <c r="U16" s="563">
        <f t="shared" si="17"/>
        <v>141</v>
      </c>
      <c r="V16" s="565">
        <f t="shared" si="18"/>
        <v>158</v>
      </c>
      <c r="W16" s="31">
        <f>'t1'!N14</f>
        <v>6</v>
      </c>
      <c r="AH16" s="280">
        <v>106</v>
      </c>
      <c r="AI16" s="281">
        <v>95</v>
      </c>
      <c r="AJ16" s="280">
        <v>27</v>
      </c>
      <c r="AK16" s="281">
        <v>38</v>
      </c>
      <c r="AL16" s="280"/>
      <c r="AM16" s="281"/>
      <c r="AN16" s="280">
        <v>2</v>
      </c>
      <c r="AO16" s="281">
        <v>15</v>
      </c>
      <c r="AP16" s="280"/>
      <c r="AQ16" s="281"/>
      <c r="AR16" s="280">
        <v>6</v>
      </c>
      <c r="AS16" s="281">
        <v>10</v>
      </c>
      <c r="AT16" s="280"/>
      <c r="AU16" s="661"/>
      <c r="AV16" s="280"/>
      <c r="AW16" s="661"/>
      <c r="AX16" s="280"/>
      <c r="AY16" s="656"/>
      <c r="AZ16" s="563">
        <f t="shared" si="20"/>
        <v>141</v>
      </c>
      <c r="BA16" s="565">
        <f t="shared" si="21"/>
        <v>158</v>
      </c>
      <c r="BB16" s="31">
        <f>'t1'!AS14</f>
        <v>0</v>
      </c>
    </row>
    <row r="17" spans="1:54" ht="12.75" customHeight="1">
      <c r="A17" s="155" t="str">
        <f>'t1'!A15</f>
        <v>PROFESSORI DI PRIMA FASCIA TEMPO DET.ANNUALE</v>
      </c>
      <c r="B17" s="229" t="str">
        <f>'t1'!B15</f>
        <v>018PD1</v>
      </c>
      <c r="C17" s="944">
        <f t="shared" si="19"/>
        <v>451</v>
      </c>
      <c r="D17" s="945">
        <f t="shared" si="0"/>
        <v>177</v>
      </c>
      <c r="E17" s="944">
        <f t="shared" si="1"/>
        <v>4</v>
      </c>
      <c r="F17" s="945">
        <f t="shared" si="2"/>
        <v>6</v>
      </c>
      <c r="G17" s="944">
        <f t="shared" si="3"/>
        <v>0</v>
      </c>
      <c r="H17" s="945">
        <f t="shared" si="4"/>
        <v>0</v>
      </c>
      <c r="I17" s="944">
        <f t="shared" si="5"/>
        <v>0</v>
      </c>
      <c r="J17" s="945">
        <f t="shared" si="6"/>
        <v>0</v>
      </c>
      <c r="K17" s="944">
        <f t="shared" si="7"/>
        <v>0</v>
      </c>
      <c r="L17" s="945">
        <f t="shared" si="8"/>
        <v>127</v>
      </c>
      <c r="M17" s="944">
        <f t="shared" si="9"/>
        <v>0</v>
      </c>
      <c r="N17" s="945">
        <f t="shared" si="10"/>
        <v>0</v>
      </c>
      <c r="O17" s="944">
        <f t="shared" si="11"/>
        <v>0</v>
      </c>
      <c r="P17" s="946">
        <f t="shared" si="12"/>
        <v>0</v>
      </c>
      <c r="Q17" s="944">
        <f t="shared" si="13"/>
        <v>6</v>
      </c>
      <c r="R17" s="946">
        <f t="shared" si="14"/>
        <v>3</v>
      </c>
      <c r="S17" s="944">
        <f t="shared" si="15"/>
        <v>0</v>
      </c>
      <c r="T17" s="947">
        <f t="shared" si="16"/>
        <v>0</v>
      </c>
      <c r="U17" s="563">
        <f t="shared" si="17"/>
        <v>461</v>
      </c>
      <c r="V17" s="565">
        <f t="shared" si="18"/>
        <v>313</v>
      </c>
      <c r="W17" s="31">
        <f>'t1'!N15</f>
        <v>22</v>
      </c>
      <c r="AH17" s="280">
        <v>451</v>
      </c>
      <c r="AI17" s="281">
        <v>177</v>
      </c>
      <c r="AJ17" s="280">
        <v>4</v>
      </c>
      <c r="AK17" s="281">
        <v>6</v>
      </c>
      <c r="AL17" s="280"/>
      <c r="AM17" s="281"/>
      <c r="AN17" s="280"/>
      <c r="AO17" s="281"/>
      <c r="AP17" s="280"/>
      <c r="AQ17" s="281">
        <v>127</v>
      </c>
      <c r="AR17" s="280"/>
      <c r="AS17" s="281"/>
      <c r="AT17" s="280"/>
      <c r="AU17" s="661"/>
      <c r="AV17" s="280">
        <v>6</v>
      </c>
      <c r="AW17" s="661">
        <v>3</v>
      </c>
      <c r="AX17" s="280"/>
      <c r="AY17" s="656"/>
      <c r="AZ17" s="563">
        <f t="shared" si="20"/>
        <v>461</v>
      </c>
      <c r="BA17" s="565">
        <f t="shared" si="21"/>
        <v>313</v>
      </c>
      <c r="BB17" s="31">
        <f>'t1'!AS15</f>
        <v>0</v>
      </c>
    </row>
    <row r="18" spans="1:54" ht="12.75" customHeight="1">
      <c r="A18" s="155" t="str">
        <f>'t1'!A16</f>
        <v>PROFESSORI DI SECONDA FASCIA TEMPO DET.ANNUALE</v>
      </c>
      <c r="B18" s="229" t="str">
        <f>'t1'!B16</f>
        <v>016PD2</v>
      </c>
      <c r="C18" s="944">
        <f t="shared" si="19"/>
        <v>40</v>
      </c>
      <c r="D18" s="945">
        <f t="shared" si="0"/>
        <v>58</v>
      </c>
      <c r="E18" s="944">
        <f t="shared" si="1"/>
        <v>7</v>
      </c>
      <c r="F18" s="945">
        <f t="shared" si="2"/>
        <v>0</v>
      </c>
      <c r="G18" s="944">
        <f t="shared" si="3"/>
        <v>0</v>
      </c>
      <c r="H18" s="945">
        <f t="shared" si="4"/>
        <v>0</v>
      </c>
      <c r="I18" s="944">
        <f t="shared" si="5"/>
        <v>0</v>
      </c>
      <c r="J18" s="945">
        <f t="shared" si="6"/>
        <v>0</v>
      </c>
      <c r="K18" s="944">
        <f t="shared" si="7"/>
        <v>0</v>
      </c>
      <c r="L18" s="945">
        <f t="shared" si="8"/>
        <v>0</v>
      </c>
      <c r="M18" s="944">
        <f t="shared" si="9"/>
        <v>0</v>
      </c>
      <c r="N18" s="945">
        <f t="shared" si="10"/>
        <v>0</v>
      </c>
      <c r="O18" s="944">
        <f t="shared" si="11"/>
        <v>0</v>
      </c>
      <c r="P18" s="946">
        <f t="shared" si="12"/>
        <v>0</v>
      </c>
      <c r="Q18" s="944">
        <f t="shared" si="13"/>
        <v>1</v>
      </c>
      <c r="R18" s="946">
        <f t="shared" si="14"/>
        <v>1</v>
      </c>
      <c r="S18" s="944">
        <f t="shared" si="15"/>
        <v>0</v>
      </c>
      <c r="T18" s="947">
        <f t="shared" si="16"/>
        <v>0</v>
      </c>
      <c r="U18" s="563">
        <f t="shared" si="17"/>
        <v>48</v>
      </c>
      <c r="V18" s="565">
        <f t="shared" si="18"/>
        <v>59</v>
      </c>
      <c r="W18" s="31">
        <f>'t1'!N16</f>
        <v>6</v>
      </c>
      <c r="AH18" s="280">
        <v>40</v>
      </c>
      <c r="AI18" s="281">
        <v>58</v>
      </c>
      <c r="AJ18" s="280">
        <v>7</v>
      </c>
      <c r="AK18" s="281">
        <v>0</v>
      </c>
      <c r="AL18" s="280"/>
      <c r="AM18" s="281"/>
      <c r="AN18" s="280"/>
      <c r="AO18" s="281"/>
      <c r="AP18" s="280"/>
      <c r="AQ18" s="281"/>
      <c r="AR18" s="280"/>
      <c r="AS18" s="281"/>
      <c r="AT18" s="280"/>
      <c r="AU18" s="661"/>
      <c r="AV18" s="280">
        <v>1</v>
      </c>
      <c r="AW18" s="661">
        <v>1</v>
      </c>
      <c r="AX18" s="280"/>
      <c r="AY18" s="656"/>
      <c r="AZ18" s="563">
        <f t="shared" si="20"/>
        <v>48</v>
      </c>
      <c r="BA18" s="565">
        <f t="shared" si="21"/>
        <v>59</v>
      </c>
      <c r="BB18" s="31">
        <f>'t1'!AS16</f>
        <v>0</v>
      </c>
    </row>
    <row r="19" spans="1:54" ht="12.75" customHeight="1">
      <c r="A19" s="155" t="str">
        <f>'t1'!A17</f>
        <v>PROFESSORI DI PRIMA FASCIA T. DET. TERMINE ATTIV DIDATT</v>
      </c>
      <c r="B19" s="229" t="str">
        <f>'t1'!B17</f>
        <v>018DD1</v>
      </c>
      <c r="C19" s="944">
        <f t="shared" si="19"/>
        <v>0</v>
      </c>
      <c r="D19" s="945">
        <f t="shared" si="0"/>
        <v>0</v>
      </c>
      <c r="E19" s="944">
        <f t="shared" si="1"/>
        <v>0</v>
      </c>
      <c r="F19" s="945">
        <f t="shared" si="2"/>
        <v>0</v>
      </c>
      <c r="G19" s="944">
        <f t="shared" si="3"/>
        <v>0</v>
      </c>
      <c r="H19" s="945">
        <f t="shared" si="4"/>
        <v>0</v>
      </c>
      <c r="I19" s="944">
        <f t="shared" si="5"/>
        <v>0</v>
      </c>
      <c r="J19" s="945">
        <f t="shared" si="6"/>
        <v>0</v>
      </c>
      <c r="K19" s="944">
        <f t="shared" si="7"/>
        <v>0</v>
      </c>
      <c r="L19" s="945">
        <f t="shared" si="8"/>
        <v>0</v>
      </c>
      <c r="M19" s="944">
        <f t="shared" si="9"/>
        <v>0</v>
      </c>
      <c r="N19" s="945">
        <f t="shared" si="10"/>
        <v>0</v>
      </c>
      <c r="O19" s="944">
        <f t="shared" si="11"/>
        <v>0</v>
      </c>
      <c r="P19" s="946">
        <f t="shared" si="12"/>
        <v>0</v>
      </c>
      <c r="Q19" s="944">
        <f t="shared" si="13"/>
        <v>0</v>
      </c>
      <c r="R19" s="946">
        <f t="shared" si="14"/>
        <v>0</v>
      </c>
      <c r="S19" s="944">
        <f t="shared" si="15"/>
        <v>0</v>
      </c>
      <c r="T19" s="947">
        <f t="shared" si="16"/>
        <v>0</v>
      </c>
      <c r="U19" s="563">
        <f t="shared" si="17"/>
        <v>0</v>
      </c>
      <c r="V19" s="565">
        <f t="shared" si="18"/>
        <v>0</v>
      </c>
      <c r="W19" s="31">
        <f>'t1'!N17</f>
        <v>0</v>
      </c>
      <c r="AH19" s="280"/>
      <c r="AI19" s="281"/>
      <c r="AJ19" s="280"/>
      <c r="AK19" s="281"/>
      <c r="AL19" s="280"/>
      <c r="AM19" s="281"/>
      <c r="AN19" s="280"/>
      <c r="AO19" s="281"/>
      <c r="AP19" s="280"/>
      <c r="AQ19" s="281"/>
      <c r="AR19" s="280"/>
      <c r="AS19" s="281"/>
      <c r="AT19" s="280"/>
      <c r="AU19" s="661"/>
      <c r="AV19" s="280"/>
      <c r="AW19" s="661"/>
      <c r="AX19" s="280"/>
      <c r="AY19" s="656"/>
      <c r="AZ19" s="563">
        <f t="shared" si="20"/>
        <v>0</v>
      </c>
      <c r="BA19" s="565">
        <f t="shared" si="21"/>
        <v>0</v>
      </c>
      <c r="BB19" s="31">
        <f>'t1'!AS17</f>
        <v>0</v>
      </c>
    </row>
    <row r="20" spans="1:54" ht="12.75" customHeight="1">
      <c r="A20" s="155" t="str">
        <f>'t1'!A18</f>
        <v>PROFESSORI DI SECONDA FASCIA T. DET. TERMINE ATTIV DIDATT</v>
      </c>
      <c r="B20" s="229" t="str">
        <f>'t1'!B18</f>
        <v>016DD2</v>
      </c>
      <c r="C20" s="944">
        <f t="shared" si="19"/>
        <v>0</v>
      </c>
      <c r="D20" s="945">
        <f t="shared" si="0"/>
        <v>0</v>
      </c>
      <c r="E20" s="944">
        <f t="shared" si="1"/>
        <v>0</v>
      </c>
      <c r="F20" s="945">
        <f t="shared" si="2"/>
        <v>0</v>
      </c>
      <c r="G20" s="944">
        <f t="shared" si="3"/>
        <v>0</v>
      </c>
      <c r="H20" s="945">
        <f t="shared" si="4"/>
        <v>0</v>
      </c>
      <c r="I20" s="944">
        <f t="shared" si="5"/>
        <v>0</v>
      </c>
      <c r="J20" s="945">
        <f t="shared" si="6"/>
        <v>0</v>
      </c>
      <c r="K20" s="944">
        <f t="shared" si="7"/>
        <v>0</v>
      </c>
      <c r="L20" s="945">
        <f t="shared" si="8"/>
        <v>0</v>
      </c>
      <c r="M20" s="944">
        <f t="shared" si="9"/>
        <v>0</v>
      </c>
      <c r="N20" s="945">
        <f t="shared" si="10"/>
        <v>0</v>
      </c>
      <c r="O20" s="944">
        <f t="shared" si="11"/>
        <v>0</v>
      </c>
      <c r="P20" s="946">
        <f t="shared" si="12"/>
        <v>0</v>
      </c>
      <c r="Q20" s="944">
        <f t="shared" si="13"/>
        <v>0</v>
      </c>
      <c r="R20" s="946">
        <f t="shared" si="14"/>
        <v>0</v>
      </c>
      <c r="S20" s="944">
        <f t="shared" si="15"/>
        <v>0</v>
      </c>
      <c r="T20" s="947">
        <f t="shared" si="16"/>
        <v>0</v>
      </c>
      <c r="U20" s="563">
        <f t="shared" si="17"/>
        <v>0</v>
      </c>
      <c r="V20" s="565">
        <f t="shared" si="18"/>
        <v>0</v>
      </c>
      <c r="W20" s="31">
        <f>'t1'!N18</f>
        <v>0</v>
      </c>
      <c r="AH20" s="280"/>
      <c r="AI20" s="281"/>
      <c r="AJ20" s="280"/>
      <c r="AK20" s="281"/>
      <c r="AL20" s="280"/>
      <c r="AM20" s="281"/>
      <c r="AN20" s="280"/>
      <c r="AO20" s="281"/>
      <c r="AP20" s="280"/>
      <c r="AQ20" s="281"/>
      <c r="AR20" s="280"/>
      <c r="AS20" s="281"/>
      <c r="AT20" s="280"/>
      <c r="AU20" s="661"/>
      <c r="AV20" s="280"/>
      <c r="AW20" s="661"/>
      <c r="AX20" s="280"/>
      <c r="AY20" s="656"/>
      <c r="AZ20" s="563">
        <f t="shared" si="20"/>
        <v>0</v>
      </c>
      <c r="BA20" s="565">
        <f t="shared" si="21"/>
        <v>0</v>
      </c>
      <c r="BB20" s="31">
        <f>'t1'!AS18</f>
        <v>0</v>
      </c>
    </row>
    <row r="21" spans="1:54" ht="12.75" customHeight="1">
      <c r="A21" s="155" t="str">
        <f>'t1'!A19</f>
        <v>DIRETTORE AMMINISTRATIVO TEMPO DET.ANNUALE (EP2)</v>
      </c>
      <c r="B21" s="229" t="str">
        <f>'t1'!B19</f>
        <v>013EP2</v>
      </c>
      <c r="C21" s="944">
        <f t="shared" si="19"/>
        <v>0</v>
      </c>
      <c r="D21" s="945">
        <f t="shared" si="0"/>
        <v>0</v>
      </c>
      <c r="E21" s="944">
        <f t="shared" si="1"/>
        <v>0</v>
      </c>
      <c r="F21" s="945">
        <f t="shared" si="2"/>
        <v>0</v>
      </c>
      <c r="G21" s="944">
        <f t="shared" si="3"/>
        <v>0</v>
      </c>
      <c r="H21" s="945">
        <f t="shared" si="4"/>
        <v>0</v>
      </c>
      <c r="I21" s="944">
        <f t="shared" si="5"/>
        <v>0</v>
      </c>
      <c r="J21" s="945">
        <f t="shared" si="6"/>
        <v>0</v>
      </c>
      <c r="K21" s="944">
        <f t="shared" si="7"/>
        <v>0</v>
      </c>
      <c r="L21" s="945">
        <f t="shared" si="8"/>
        <v>0</v>
      </c>
      <c r="M21" s="944">
        <f t="shared" si="9"/>
        <v>0</v>
      </c>
      <c r="N21" s="945">
        <f t="shared" si="10"/>
        <v>0</v>
      </c>
      <c r="O21" s="944">
        <f t="shared" si="11"/>
        <v>0</v>
      </c>
      <c r="P21" s="946">
        <f t="shared" si="12"/>
        <v>0</v>
      </c>
      <c r="Q21" s="944">
        <f t="shared" si="13"/>
        <v>0</v>
      </c>
      <c r="R21" s="946">
        <f t="shared" si="14"/>
        <v>0</v>
      </c>
      <c r="S21" s="944">
        <f t="shared" si="15"/>
        <v>0</v>
      </c>
      <c r="T21" s="947">
        <f t="shared" si="16"/>
        <v>0</v>
      </c>
      <c r="U21" s="563">
        <f t="shared" si="17"/>
        <v>0</v>
      </c>
      <c r="V21" s="565">
        <f t="shared" si="18"/>
        <v>0</v>
      </c>
      <c r="W21" s="31">
        <f>'t1'!N19</f>
        <v>0</v>
      </c>
      <c r="AH21" s="280"/>
      <c r="AI21" s="281"/>
      <c r="AJ21" s="280"/>
      <c r="AK21" s="281"/>
      <c r="AL21" s="280"/>
      <c r="AM21" s="281"/>
      <c r="AN21" s="280"/>
      <c r="AO21" s="281"/>
      <c r="AP21" s="280"/>
      <c r="AQ21" s="281"/>
      <c r="AR21" s="280"/>
      <c r="AS21" s="281"/>
      <c r="AT21" s="280"/>
      <c r="AU21" s="661"/>
      <c r="AV21" s="280"/>
      <c r="AW21" s="661"/>
      <c r="AX21" s="280"/>
      <c r="AY21" s="656"/>
      <c r="AZ21" s="563">
        <f t="shared" si="20"/>
        <v>0</v>
      </c>
      <c r="BA21" s="565">
        <f t="shared" si="21"/>
        <v>0</v>
      </c>
      <c r="BB21" s="31">
        <f>'t1'!AS19</f>
        <v>0</v>
      </c>
    </row>
    <row r="22" spans="1:54" ht="12.75" customHeight="1">
      <c r="A22" s="155" t="str">
        <f>'t1'!A20</f>
        <v>DIRETTORE DELL UFFICIO DI RAGIONERIA TEMPO DET.ANNUALE (EP1)</v>
      </c>
      <c r="B22" s="229" t="str">
        <f>'t1'!B20</f>
        <v>013160</v>
      </c>
      <c r="C22" s="944">
        <f t="shared" si="19"/>
        <v>0</v>
      </c>
      <c r="D22" s="945">
        <f t="shared" si="0"/>
        <v>0</v>
      </c>
      <c r="E22" s="944">
        <f t="shared" si="1"/>
        <v>0</v>
      </c>
      <c r="F22" s="945">
        <f t="shared" si="2"/>
        <v>0</v>
      </c>
      <c r="G22" s="944">
        <f t="shared" si="3"/>
        <v>0</v>
      </c>
      <c r="H22" s="945">
        <f t="shared" si="4"/>
        <v>0</v>
      </c>
      <c r="I22" s="944">
        <f t="shared" si="5"/>
        <v>0</v>
      </c>
      <c r="J22" s="945">
        <f t="shared" si="6"/>
        <v>0</v>
      </c>
      <c r="K22" s="944">
        <f t="shared" si="7"/>
        <v>0</v>
      </c>
      <c r="L22" s="945">
        <f t="shared" si="8"/>
        <v>0</v>
      </c>
      <c r="M22" s="944">
        <f t="shared" si="9"/>
        <v>0</v>
      </c>
      <c r="N22" s="945">
        <f t="shared" si="10"/>
        <v>0</v>
      </c>
      <c r="O22" s="944">
        <f t="shared" si="11"/>
        <v>0</v>
      </c>
      <c r="P22" s="946">
        <f t="shared" si="12"/>
        <v>0</v>
      </c>
      <c r="Q22" s="944">
        <f t="shared" si="13"/>
        <v>0</v>
      </c>
      <c r="R22" s="946">
        <f t="shared" si="14"/>
        <v>0</v>
      </c>
      <c r="S22" s="944">
        <f t="shared" si="15"/>
        <v>0</v>
      </c>
      <c r="T22" s="947">
        <f t="shared" si="16"/>
        <v>0</v>
      </c>
      <c r="U22" s="563">
        <f t="shared" si="17"/>
        <v>0</v>
      </c>
      <c r="V22" s="565">
        <f t="shared" si="18"/>
        <v>0</v>
      </c>
      <c r="W22" s="31">
        <f>'t1'!N20</f>
        <v>0</v>
      </c>
      <c r="AH22" s="280"/>
      <c r="AI22" s="281"/>
      <c r="AJ22" s="280"/>
      <c r="AK22" s="281"/>
      <c r="AL22" s="280"/>
      <c r="AM22" s="281"/>
      <c r="AN22" s="280"/>
      <c r="AO22" s="281"/>
      <c r="AP22" s="280"/>
      <c r="AQ22" s="281"/>
      <c r="AR22" s="280"/>
      <c r="AS22" s="281"/>
      <c r="AT22" s="280"/>
      <c r="AU22" s="661"/>
      <c r="AV22" s="280"/>
      <c r="AW22" s="661"/>
      <c r="AX22" s="280"/>
      <c r="AY22" s="656"/>
      <c r="AZ22" s="563">
        <f t="shared" si="20"/>
        <v>0</v>
      </c>
      <c r="BA22" s="565">
        <f t="shared" si="21"/>
        <v>0</v>
      </c>
      <c r="BB22" s="31">
        <f>'t1'!AS20</f>
        <v>0</v>
      </c>
    </row>
    <row r="23" spans="1:54" ht="12.75" customHeight="1">
      <c r="A23" s="155" t="str">
        <f>'t1'!A21</f>
        <v>DIRETTORE AMMINISTRATIVO T. DET. TERMINE ATTIV DIDATT(EP2)</v>
      </c>
      <c r="B23" s="229" t="str">
        <f>'t1'!B21</f>
        <v>013E2N</v>
      </c>
      <c r="C23" s="944">
        <f t="shared" si="19"/>
        <v>0</v>
      </c>
      <c r="D23" s="945">
        <f t="shared" si="0"/>
        <v>0</v>
      </c>
      <c r="E23" s="944">
        <f t="shared" si="1"/>
        <v>0</v>
      </c>
      <c r="F23" s="945">
        <f t="shared" si="2"/>
        <v>0</v>
      </c>
      <c r="G23" s="944">
        <f t="shared" si="3"/>
        <v>0</v>
      </c>
      <c r="H23" s="945">
        <f t="shared" si="4"/>
        <v>0</v>
      </c>
      <c r="I23" s="944">
        <f t="shared" si="5"/>
        <v>0</v>
      </c>
      <c r="J23" s="945">
        <f t="shared" si="6"/>
        <v>0</v>
      </c>
      <c r="K23" s="944">
        <f t="shared" si="7"/>
        <v>0</v>
      </c>
      <c r="L23" s="945">
        <f t="shared" si="8"/>
        <v>0</v>
      </c>
      <c r="M23" s="944">
        <f t="shared" si="9"/>
        <v>0</v>
      </c>
      <c r="N23" s="945">
        <f t="shared" si="10"/>
        <v>0</v>
      </c>
      <c r="O23" s="944">
        <f t="shared" si="11"/>
        <v>0</v>
      </c>
      <c r="P23" s="946">
        <f t="shared" si="12"/>
        <v>0</v>
      </c>
      <c r="Q23" s="944">
        <f t="shared" si="13"/>
        <v>0</v>
      </c>
      <c r="R23" s="946">
        <f t="shared" si="14"/>
        <v>0</v>
      </c>
      <c r="S23" s="944">
        <f t="shared" si="15"/>
        <v>0</v>
      </c>
      <c r="T23" s="947">
        <f t="shared" si="16"/>
        <v>0</v>
      </c>
      <c r="U23" s="563">
        <f t="shared" si="17"/>
        <v>0</v>
      </c>
      <c r="V23" s="565">
        <f t="shared" si="18"/>
        <v>0</v>
      </c>
      <c r="W23" s="31">
        <f>'t1'!N21</f>
        <v>0</v>
      </c>
      <c r="AH23" s="280"/>
      <c r="AI23" s="281"/>
      <c r="AJ23" s="280"/>
      <c r="AK23" s="281"/>
      <c r="AL23" s="280"/>
      <c r="AM23" s="281"/>
      <c r="AN23" s="280"/>
      <c r="AO23" s="281"/>
      <c r="AP23" s="280"/>
      <c r="AQ23" s="281"/>
      <c r="AR23" s="280"/>
      <c r="AS23" s="281"/>
      <c r="AT23" s="280"/>
      <c r="AU23" s="661"/>
      <c r="AV23" s="280"/>
      <c r="AW23" s="661"/>
      <c r="AX23" s="280"/>
      <c r="AY23" s="656"/>
      <c r="AZ23" s="563">
        <f t="shared" si="20"/>
        <v>0</v>
      </c>
      <c r="BA23" s="565">
        <f t="shared" si="21"/>
        <v>0</v>
      </c>
      <c r="BB23" s="31">
        <f>'t1'!AS21</f>
        <v>0</v>
      </c>
    </row>
    <row r="24" spans="1:54" ht="12.75" customHeight="1">
      <c r="A24" s="155" t="str">
        <f>'t1'!A22</f>
        <v>DIRETTORE UFF. RAGIONERIA T. DET. TERM. ATTIV DIDATT(EP1)</v>
      </c>
      <c r="B24" s="229" t="str">
        <f>'t1'!B22</f>
        <v>013E1N</v>
      </c>
      <c r="C24" s="944">
        <f t="shared" si="19"/>
        <v>0</v>
      </c>
      <c r="D24" s="945">
        <f t="shared" si="0"/>
        <v>0</v>
      </c>
      <c r="E24" s="944">
        <f t="shared" si="1"/>
        <v>0</v>
      </c>
      <c r="F24" s="945">
        <f t="shared" si="2"/>
        <v>0</v>
      </c>
      <c r="G24" s="944">
        <f t="shared" si="3"/>
        <v>0</v>
      </c>
      <c r="H24" s="945">
        <f t="shared" si="4"/>
        <v>0</v>
      </c>
      <c r="I24" s="944">
        <f t="shared" si="5"/>
        <v>0</v>
      </c>
      <c r="J24" s="945">
        <f t="shared" si="6"/>
        <v>0</v>
      </c>
      <c r="K24" s="944">
        <f t="shared" si="7"/>
        <v>0</v>
      </c>
      <c r="L24" s="945">
        <f t="shared" si="8"/>
        <v>0</v>
      </c>
      <c r="M24" s="944">
        <f t="shared" si="9"/>
        <v>0</v>
      </c>
      <c r="N24" s="945">
        <f t="shared" si="10"/>
        <v>0</v>
      </c>
      <c r="O24" s="944">
        <f t="shared" si="11"/>
        <v>0</v>
      </c>
      <c r="P24" s="946">
        <f t="shared" si="12"/>
        <v>0</v>
      </c>
      <c r="Q24" s="944">
        <f t="shared" si="13"/>
        <v>0</v>
      </c>
      <c r="R24" s="946">
        <f t="shared" si="14"/>
        <v>0</v>
      </c>
      <c r="S24" s="944">
        <f t="shared" si="15"/>
        <v>0</v>
      </c>
      <c r="T24" s="947">
        <f t="shared" si="16"/>
        <v>0</v>
      </c>
      <c r="U24" s="563">
        <f t="shared" si="17"/>
        <v>0</v>
      </c>
      <c r="V24" s="565">
        <f t="shared" si="18"/>
        <v>0</v>
      </c>
      <c r="W24" s="31">
        <f>'t1'!N22</f>
        <v>0</v>
      </c>
      <c r="AH24" s="280"/>
      <c r="AI24" s="281"/>
      <c r="AJ24" s="280"/>
      <c r="AK24" s="281"/>
      <c r="AL24" s="280"/>
      <c r="AM24" s="281"/>
      <c r="AN24" s="280"/>
      <c r="AO24" s="281"/>
      <c r="AP24" s="280"/>
      <c r="AQ24" s="281"/>
      <c r="AR24" s="280"/>
      <c r="AS24" s="281"/>
      <c r="AT24" s="280"/>
      <c r="AU24" s="661"/>
      <c r="AV24" s="280"/>
      <c r="AW24" s="661"/>
      <c r="AX24" s="280"/>
      <c r="AY24" s="656"/>
      <c r="AZ24" s="563">
        <f t="shared" si="20"/>
        <v>0</v>
      </c>
      <c r="BA24" s="565">
        <f t="shared" si="21"/>
        <v>0</v>
      </c>
      <c r="BB24" s="31">
        <f>'t1'!AS22</f>
        <v>0</v>
      </c>
    </row>
    <row r="25" spans="1:54" ht="12.75" customHeight="1">
      <c r="A25" s="155" t="str">
        <f>'t1'!A23</f>
        <v>COORD. DI BIBLIOT., COORD. TEC. E AMM. TEMPO DET.ANNUALE</v>
      </c>
      <c r="B25" s="229" t="str">
        <f>'t1'!B23</f>
        <v>013DDE</v>
      </c>
      <c r="C25" s="944">
        <f t="shared" si="19"/>
        <v>0</v>
      </c>
      <c r="D25" s="945">
        <f t="shared" si="0"/>
        <v>0</v>
      </c>
      <c r="E25" s="944">
        <f t="shared" si="1"/>
        <v>0</v>
      </c>
      <c r="F25" s="945">
        <f t="shared" si="2"/>
        <v>0</v>
      </c>
      <c r="G25" s="944">
        <f t="shared" si="3"/>
        <v>0</v>
      </c>
      <c r="H25" s="945">
        <f t="shared" si="4"/>
        <v>0</v>
      </c>
      <c r="I25" s="944">
        <f t="shared" si="5"/>
        <v>0</v>
      </c>
      <c r="J25" s="945">
        <f t="shared" si="6"/>
        <v>0</v>
      </c>
      <c r="K25" s="944">
        <f t="shared" si="7"/>
        <v>0</v>
      </c>
      <c r="L25" s="945">
        <f t="shared" si="8"/>
        <v>0</v>
      </c>
      <c r="M25" s="944">
        <f t="shared" si="9"/>
        <v>0</v>
      </c>
      <c r="N25" s="945">
        <f t="shared" si="10"/>
        <v>0</v>
      </c>
      <c r="O25" s="944">
        <f t="shared" si="11"/>
        <v>0</v>
      </c>
      <c r="P25" s="946">
        <f t="shared" si="12"/>
        <v>0</v>
      </c>
      <c r="Q25" s="944">
        <f t="shared" si="13"/>
        <v>0</v>
      </c>
      <c r="R25" s="946">
        <f t="shared" si="14"/>
        <v>0</v>
      </c>
      <c r="S25" s="944">
        <f t="shared" si="15"/>
        <v>0</v>
      </c>
      <c r="T25" s="947">
        <f t="shared" si="16"/>
        <v>0</v>
      </c>
      <c r="U25" s="563">
        <f t="shared" si="17"/>
        <v>0</v>
      </c>
      <c r="V25" s="565">
        <f t="shared" si="18"/>
        <v>0</v>
      </c>
      <c r="W25" s="31">
        <f>'t1'!N23</f>
        <v>0</v>
      </c>
      <c r="AH25" s="280"/>
      <c r="AI25" s="281"/>
      <c r="AJ25" s="280"/>
      <c r="AK25" s="281"/>
      <c r="AL25" s="280"/>
      <c r="AM25" s="281"/>
      <c r="AN25" s="280"/>
      <c r="AO25" s="281"/>
      <c r="AP25" s="280"/>
      <c r="AQ25" s="281"/>
      <c r="AR25" s="280"/>
      <c r="AS25" s="281"/>
      <c r="AT25" s="280"/>
      <c r="AU25" s="661"/>
      <c r="AV25" s="280"/>
      <c r="AW25" s="661"/>
      <c r="AX25" s="280"/>
      <c r="AY25" s="656"/>
      <c r="AZ25" s="563">
        <f t="shared" si="20"/>
        <v>0</v>
      </c>
      <c r="BA25" s="565">
        <f t="shared" si="21"/>
        <v>0</v>
      </c>
      <c r="BB25" s="31">
        <f>'t1'!AS23</f>
        <v>0</v>
      </c>
    </row>
    <row r="26" spans="1:54" ht="12.75" customHeight="1">
      <c r="A26" s="155" t="str">
        <f>'t1'!A24</f>
        <v>COLLAB. TEC. AMMIN. DI BIBLIOT. E DI LAB. TEMPO DET.ANNUALE</v>
      </c>
      <c r="B26" s="229" t="str">
        <f>'t1'!B24</f>
        <v>013CDE</v>
      </c>
      <c r="C26" s="944">
        <f t="shared" si="19"/>
        <v>0</v>
      </c>
      <c r="D26" s="945">
        <f t="shared" si="0"/>
        <v>0</v>
      </c>
      <c r="E26" s="944">
        <f t="shared" si="1"/>
        <v>0</v>
      </c>
      <c r="F26" s="945">
        <f t="shared" si="2"/>
        <v>0</v>
      </c>
      <c r="G26" s="944">
        <f t="shared" si="3"/>
        <v>0</v>
      </c>
      <c r="H26" s="945">
        <f t="shared" si="4"/>
        <v>0</v>
      </c>
      <c r="I26" s="944">
        <f t="shared" si="5"/>
        <v>0</v>
      </c>
      <c r="J26" s="945">
        <f t="shared" si="6"/>
        <v>0</v>
      </c>
      <c r="K26" s="944">
        <f t="shared" si="7"/>
        <v>0</v>
      </c>
      <c r="L26" s="945">
        <f t="shared" si="8"/>
        <v>0</v>
      </c>
      <c r="M26" s="944">
        <f t="shared" si="9"/>
        <v>0</v>
      </c>
      <c r="N26" s="945">
        <f t="shared" si="10"/>
        <v>0</v>
      </c>
      <c r="O26" s="944">
        <f t="shared" si="11"/>
        <v>0</v>
      </c>
      <c r="P26" s="946">
        <f t="shared" si="12"/>
        <v>0</v>
      </c>
      <c r="Q26" s="944">
        <f t="shared" si="13"/>
        <v>0</v>
      </c>
      <c r="R26" s="946">
        <f t="shared" si="14"/>
        <v>0</v>
      </c>
      <c r="S26" s="944">
        <f t="shared" si="15"/>
        <v>0</v>
      </c>
      <c r="T26" s="947">
        <f t="shared" si="16"/>
        <v>0</v>
      </c>
      <c r="U26" s="563">
        <f t="shared" si="17"/>
        <v>0</v>
      </c>
      <c r="V26" s="565">
        <f t="shared" si="18"/>
        <v>0</v>
      </c>
      <c r="W26" s="31">
        <f>'t1'!N24</f>
        <v>0</v>
      </c>
      <c r="AH26" s="280"/>
      <c r="AI26" s="281"/>
      <c r="AJ26" s="280"/>
      <c r="AK26" s="281"/>
      <c r="AL26" s="280"/>
      <c r="AM26" s="281"/>
      <c r="AN26" s="280"/>
      <c r="AO26" s="281"/>
      <c r="AP26" s="280"/>
      <c r="AQ26" s="281"/>
      <c r="AR26" s="280"/>
      <c r="AS26" s="281"/>
      <c r="AT26" s="280"/>
      <c r="AU26" s="661"/>
      <c r="AV26" s="280"/>
      <c r="AW26" s="661"/>
      <c r="AX26" s="280"/>
      <c r="AY26" s="656"/>
      <c r="AZ26" s="563">
        <f t="shared" si="20"/>
        <v>0</v>
      </c>
      <c r="BA26" s="565">
        <f t="shared" si="21"/>
        <v>0</v>
      </c>
      <c r="BB26" s="31">
        <f>'t1'!AS24</f>
        <v>0</v>
      </c>
    </row>
    <row r="27" spans="1:54" ht="12.75" customHeight="1">
      <c r="A27" s="155" t="str">
        <f>'t1'!A25</f>
        <v>ASSIST. AMMINISTRATIVO TEMPO DET.ANNUALE</v>
      </c>
      <c r="B27" s="229" t="str">
        <f>'t1'!B25</f>
        <v>012118</v>
      </c>
      <c r="C27" s="944">
        <f t="shared" si="19"/>
        <v>27</v>
      </c>
      <c r="D27" s="945">
        <f t="shared" si="0"/>
        <v>0</v>
      </c>
      <c r="E27" s="944">
        <f t="shared" si="1"/>
        <v>0</v>
      </c>
      <c r="F27" s="945">
        <f t="shared" si="2"/>
        <v>0</v>
      </c>
      <c r="G27" s="944">
        <f t="shared" si="3"/>
        <v>0</v>
      </c>
      <c r="H27" s="945">
        <f t="shared" si="4"/>
        <v>0</v>
      </c>
      <c r="I27" s="944">
        <f t="shared" si="5"/>
        <v>0</v>
      </c>
      <c r="J27" s="945">
        <f t="shared" si="6"/>
        <v>0</v>
      </c>
      <c r="K27" s="944">
        <f t="shared" si="7"/>
        <v>0</v>
      </c>
      <c r="L27" s="945">
        <f t="shared" si="8"/>
        <v>0</v>
      </c>
      <c r="M27" s="944">
        <f t="shared" si="9"/>
        <v>0</v>
      </c>
      <c r="N27" s="945">
        <f t="shared" si="10"/>
        <v>0</v>
      </c>
      <c r="O27" s="944">
        <f t="shared" si="11"/>
        <v>0</v>
      </c>
      <c r="P27" s="946">
        <f t="shared" si="12"/>
        <v>0</v>
      </c>
      <c r="Q27" s="944">
        <f t="shared" si="13"/>
        <v>0</v>
      </c>
      <c r="R27" s="946">
        <f t="shared" si="14"/>
        <v>0</v>
      </c>
      <c r="S27" s="944">
        <f t="shared" si="15"/>
        <v>0</v>
      </c>
      <c r="T27" s="947">
        <f t="shared" si="16"/>
        <v>0</v>
      </c>
      <c r="U27" s="563">
        <f t="shared" si="17"/>
        <v>27</v>
      </c>
      <c r="V27" s="565">
        <f t="shared" si="18"/>
        <v>0</v>
      </c>
      <c r="W27" s="31">
        <f>'t1'!N25</f>
        <v>1</v>
      </c>
      <c r="AH27" s="280">
        <v>27</v>
      </c>
      <c r="AI27" s="281"/>
      <c r="AJ27" s="280"/>
      <c r="AK27" s="281"/>
      <c r="AL27" s="280"/>
      <c r="AM27" s="281"/>
      <c r="AN27" s="280"/>
      <c r="AO27" s="281"/>
      <c r="AP27" s="280"/>
      <c r="AQ27" s="281"/>
      <c r="AR27" s="280"/>
      <c r="AS27" s="281"/>
      <c r="AT27" s="280"/>
      <c r="AU27" s="661"/>
      <c r="AV27" s="280"/>
      <c r="AW27" s="661"/>
      <c r="AX27" s="280"/>
      <c r="AY27" s="656"/>
      <c r="AZ27" s="563">
        <f t="shared" si="20"/>
        <v>27</v>
      </c>
      <c r="BA27" s="565">
        <f t="shared" si="21"/>
        <v>0</v>
      </c>
      <c r="BB27" s="31">
        <f>'t1'!AS25</f>
        <v>0</v>
      </c>
    </row>
    <row r="28" spans="1:54" ht="12.75" customHeight="1">
      <c r="A28" s="155" t="str">
        <f>'t1'!A26</f>
        <v>COADIUTORE TEMPO DET.ANNUALE</v>
      </c>
      <c r="B28" s="229" t="str">
        <f>'t1'!B26</f>
        <v>011124</v>
      </c>
      <c r="C28" s="944">
        <f t="shared" si="19"/>
        <v>78</v>
      </c>
      <c r="D28" s="945">
        <f t="shared" si="0"/>
        <v>16</v>
      </c>
      <c r="E28" s="944">
        <f t="shared" si="1"/>
        <v>18</v>
      </c>
      <c r="F28" s="945">
        <f t="shared" si="2"/>
        <v>12</v>
      </c>
      <c r="G28" s="944">
        <f t="shared" si="3"/>
        <v>0</v>
      </c>
      <c r="H28" s="945">
        <f t="shared" si="4"/>
        <v>0</v>
      </c>
      <c r="I28" s="944">
        <f t="shared" si="5"/>
        <v>0</v>
      </c>
      <c r="J28" s="945">
        <f t="shared" si="6"/>
        <v>0</v>
      </c>
      <c r="K28" s="944">
        <f t="shared" si="7"/>
        <v>0</v>
      </c>
      <c r="L28" s="945">
        <f t="shared" si="8"/>
        <v>0</v>
      </c>
      <c r="M28" s="944">
        <f t="shared" si="9"/>
        <v>3</v>
      </c>
      <c r="N28" s="945">
        <f t="shared" si="10"/>
        <v>0</v>
      </c>
      <c r="O28" s="944">
        <f t="shared" si="11"/>
        <v>0</v>
      </c>
      <c r="P28" s="946">
        <f t="shared" si="12"/>
        <v>0</v>
      </c>
      <c r="Q28" s="944">
        <f t="shared" si="13"/>
        <v>0</v>
      </c>
      <c r="R28" s="946">
        <f t="shared" si="14"/>
        <v>0</v>
      </c>
      <c r="S28" s="944">
        <f t="shared" si="15"/>
        <v>0</v>
      </c>
      <c r="T28" s="947">
        <f t="shared" si="16"/>
        <v>0</v>
      </c>
      <c r="U28" s="563">
        <f t="shared" si="17"/>
        <v>99</v>
      </c>
      <c r="V28" s="565">
        <f t="shared" si="18"/>
        <v>28</v>
      </c>
      <c r="W28" s="31">
        <f>'t1'!N26</f>
        <v>4</v>
      </c>
      <c r="AH28" s="280">
        <v>78</v>
      </c>
      <c r="AI28" s="281">
        <v>16</v>
      </c>
      <c r="AJ28" s="280">
        <v>18</v>
      </c>
      <c r="AK28" s="281">
        <v>12</v>
      </c>
      <c r="AL28" s="280"/>
      <c r="AM28" s="281"/>
      <c r="AN28" s="280"/>
      <c r="AO28" s="281"/>
      <c r="AP28" s="280"/>
      <c r="AQ28" s="281"/>
      <c r="AR28" s="280">
        <v>3</v>
      </c>
      <c r="AS28" s="281"/>
      <c r="AT28" s="280"/>
      <c r="AU28" s="661"/>
      <c r="AV28" s="280"/>
      <c r="AW28" s="661"/>
      <c r="AX28" s="280"/>
      <c r="AY28" s="656"/>
      <c r="AZ28" s="563">
        <f t="shared" si="20"/>
        <v>99</v>
      </c>
      <c r="BA28" s="565">
        <f t="shared" si="21"/>
        <v>28</v>
      </c>
      <c r="BB28" s="31">
        <f>'t1'!AS26</f>
        <v>0</v>
      </c>
    </row>
    <row r="29" spans="1:54" ht="12.75" customHeight="1">
      <c r="A29" s="155" t="str">
        <f>'t1'!A27</f>
        <v>COORD. BIBL., COORD. TEC. E AMM. T. DET. TERM. ATTIV DIDATT</v>
      </c>
      <c r="B29" s="229" t="str">
        <f>'t1'!B27</f>
        <v>013DDN</v>
      </c>
      <c r="C29" s="944">
        <f t="shared" si="19"/>
        <v>0</v>
      </c>
      <c r="D29" s="945">
        <f t="shared" si="0"/>
        <v>0</v>
      </c>
      <c r="E29" s="944">
        <f t="shared" si="1"/>
        <v>0</v>
      </c>
      <c r="F29" s="945">
        <f t="shared" si="2"/>
        <v>0</v>
      </c>
      <c r="G29" s="944">
        <f t="shared" si="3"/>
        <v>0</v>
      </c>
      <c r="H29" s="945">
        <f t="shared" si="4"/>
        <v>0</v>
      </c>
      <c r="I29" s="944">
        <f t="shared" si="5"/>
        <v>0</v>
      </c>
      <c r="J29" s="945">
        <f t="shared" si="6"/>
        <v>0</v>
      </c>
      <c r="K29" s="944">
        <f t="shared" si="7"/>
        <v>0</v>
      </c>
      <c r="L29" s="945">
        <f t="shared" si="8"/>
        <v>0</v>
      </c>
      <c r="M29" s="944">
        <f t="shared" si="9"/>
        <v>0</v>
      </c>
      <c r="N29" s="945">
        <f t="shared" si="10"/>
        <v>0</v>
      </c>
      <c r="O29" s="944">
        <f t="shared" si="11"/>
        <v>0</v>
      </c>
      <c r="P29" s="946">
        <f t="shared" si="12"/>
        <v>0</v>
      </c>
      <c r="Q29" s="944">
        <f t="shared" si="13"/>
        <v>0</v>
      </c>
      <c r="R29" s="946">
        <f t="shared" si="14"/>
        <v>0</v>
      </c>
      <c r="S29" s="944">
        <f t="shared" si="15"/>
        <v>0</v>
      </c>
      <c r="T29" s="947">
        <f t="shared" si="16"/>
        <v>0</v>
      </c>
      <c r="U29" s="563">
        <f t="shared" si="17"/>
        <v>0</v>
      </c>
      <c r="V29" s="565">
        <f t="shared" si="18"/>
        <v>0</v>
      </c>
      <c r="W29" s="31">
        <f>'t1'!N27</f>
        <v>0</v>
      </c>
      <c r="AH29" s="280"/>
      <c r="AI29" s="281"/>
      <c r="AJ29" s="280"/>
      <c r="AK29" s="281"/>
      <c r="AL29" s="280"/>
      <c r="AM29" s="281"/>
      <c r="AN29" s="280"/>
      <c r="AO29" s="281"/>
      <c r="AP29" s="280"/>
      <c r="AQ29" s="281"/>
      <c r="AR29" s="280"/>
      <c r="AS29" s="281"/>
      <c r="AT29" s="280"/>
      <c r="AU29" s="661"/>
      <c r="AV29" s="280"/>
      <c r="AW29" s="661"/>
      <c r="AX29" s="280"/>
      <c r="AY29" s="656"/>
      <c r="AZ29" s="563">
        <f t="shared" si="20"/>
        <v>0</v>
      </c>
      <c r="BA29" s="565">
        <f t="shared" si="21"/>
        <v>0</v>
      </c>
      <c r="BB29" s="31">
        <f>'t1'!AS27</f>
        <v>0</v>
      </c>
    </row>
    <row r="30" spans="1:54" ht="12.75" customHeight="1">
      <c r="A30" s="155" t="str">
        <f>'t1'!A28</f>
        <v>COLLAB. TEC. AMM. BIBL. E DI LAB. T. D. TERM. ATTIV DIDATT</v>
      </c>
      <c r="B30" s="229" t="str">
        <f>'t1'!B28</f>
        <v>013CDN</v>
      </c>
      <c r="C30" s="944">
        <f t="shared" si="19"/>
        <v>0</v>
      </c>
      <c r="D30" s="945">
        <f t="shared" si="0"/>
        <v>0</v>
      </c>
      <c r="E30" s="944">
        <f t="shared" si="1"/>
        <v>0</v>
      </c>
      <c r="F30" s="945">
        <f t="shared" si="2"/>
        <v>0</v>
      </c>
      <c r="G30" s="944">
        <f t="shared" si="3"/>
        <v>0</v>
      </c>
      <c r="H30" s="945">
        <f t="shared" si="4"/>
        <v>0</v>
      </c>
      <c r="I30" s="944">
        <f t="shared" si="5"/>
        <v>0</v>
      </c>
      <c r="J30" s="945">
        <f t="shared" si="6"/>
        <v>0</v>
      </c>
      <c r="K30" s="944">
        <f t="shared" si="7"/>
        <v>0</v>
      </c>
      <c r="L30" s="945">
        <f t="shared" si="8"/>
        <v>0</v>
      </c>
      <c r="M30" s="944">
        <f t="shared" si="9"/>
        <v>0</v>
      </c>
      <c r="N30" s="945">
        <f t="shared" si="10"/>
        <v>0</v>
      </c>
      <c r="O30" s="944">
        <f t="shared" si="11"/>
        <v>0</v>
      </c>
      <c r="P30" s="946">
        <f t="shared" si="12"/>
        <v>0</v>
      </c>
      <c r="Q30" s="944">
        <f t="shared" si="13"/>
        <v>0</v>
      </c>
      <c r="R30" s="946">
        <f t="shared" si="14"/>
        <v>0</v>
      </c>
      <c r="S30" s="944">
        <f t="shared" si="15"/>
        <v>0</v>
      </c>
      <c r="T30" s="947">
        <f t="shared" si="16"/>
        <v>0</v>
      </c>
      <c r="U30" s="563">
        <f t="shared" si="17"/>
        <v>0</v>
      </c>
      <c r="V30" s="565">
        <f t="shared" si="18"/>
        <v>0</v>
      </c>
      <c r="W30" s="31">
        <f>'t1'!N28</f>
        <v>0</v>
      </c>
      <c r="AH30" s="280"/>
      <c r="AI30" s="281"/>
      <c r="AJ30" s="280"/>
      <c r="AK30" s="281"/>
      <c r="AL30" s="280"/>
      <c r="AM30" s="281"/>
      <c r="AN30" s="280"/>
      <c r="AO30" s="281"/>
      <c r="AP30" s="280"/>
      <c r="AQ30" s="281"/>
      <c r="AR30" s="280"/>
      <c r="AS30" s="281"/>
      <c r="AT30" s="280"/>
      <c r="AU30" s="661"/>
      <c r="AV30" s="280"/>
      <c r="AW30" s="661"/>
      <c r="AX30" s="280"/>
      <c r="AY30" s="656"/>
      <c r="AZ30" s="563">
        <f t="shared" si="20"/>
        <v>0</v>
      </c>
      <c r="BA30" s="565">
        <f t="shared" si="21"/>
        <v>0</v>
      </c>
      <c r="BB30" s="31">
        <f>'t1'!AS28</f>
        <v>0</v>
      </c>
    </row>
    <row r="31" spans="1:54" ht="12.75" customHeight="1">
      <c r="A31" s="155" t="str">
        <f>'t1'!A29</f>
        <v>ASSISTENTE AMMINISTRATIVO TEM.DET. TERMINE ATTIV DIDATT</v>
      </c>
      <c r="B31" s="229" t="str">
        <f>'t1'!B29</f>
        <v>016509</v>
      </c>
      <c r="C31" s="944">
        <f t="shared" si="19"/>
        <v>0</v>
      </c>
      <c r="D31" s="945">
        <f t="shared" si="0"/>
        <v>0</v>
      </c>
      <c r="E31" s="944">
        <f t="shared" si="1"/>
        <v>0</v>
      </c>
      <c r="F31" s="945">
        <f t="shared" si="2"/>
        <v>0</v>
      </c>
      <c r="G31" s="944">
        <f t="shared" si="3"/>
        <v>0</v>
      </c>
      <c r="H31" s="945">
        <f t="shared" si="4"/>
        <v>0</v>
      </c>
      <c r="I31" s="944">
        <f t="shared" si="5"/>
        <v>0</v>
      </c>
      <c r="J31" s="945">
        <f t="shared" si="6"/>
        <v>0</v>
      </c>
      <c r="K31" s="944">
        <f t="shared" si="7"/>
        <v>0</v>
      </c>
      <c r="L31" s="945">
        <f t="shared" si="8"/>
        <v>0</v>
      </c>
      <c r="M31" s="944">
        <f t="shared" si="9"/>
        <v>0</v>
      </c>
      <c r="N31" s="945">
        <f t="shared" si="10"/>
        <v>0</v>
      </c>
      <c r="O31" s="944">
        <f t="shared" si="11"/>
        <v>0</v>
      </c>
      <c r="P31" s="946">
        <f t="shared" si="12"/>
        <v>0</v>
      </c>
      <c r="Q31" s="944">
        <f t="shared" si="13"/>
        <v>0</v>
      </c>
      <c r="R31" s="946">
        <f t="shared" si="14"/>
        <v>0</v>
      </c>
      <c r="S31" s="944">
        <f t="shared" si="15"/>
        <v>0</v>
      </c>
      <c r="T31" s="947">
        <f t="shared" si="16"/>
        <v>0</v>
      </c>
      <c r="U31" s="563">
        <f t="shared" si="17"/>
        <v>0</v>
      </c>
      <c r="V31" s="565">
        <f t="shared" si="18"/>
        <v>0</v>
      </c>
      <c r="W31" s="31">
        <f>'t1'!N29</f>
        <v>0</v>
      </c>
      <c r="AH31" s="280"/>
      <c r="AI31" s="281"/>
      <c r="AJ31" s="280"/>
      <c r="AK31" s="281"/>
      <c r="AL31" s="280"/>
      <c r="AM31" s="281"/>
      <c r="AN31" s="280"/>
      <c r="AO31" s="281"/>
      <c r="AP31" s="280"/>
      <c r="AQ31" s="281"/>
      <c r="AR31" s="280"/>
      <c r="AS31" s="281"/>
      <c r="AT31" s="280"/>
      <c r="AU31" s="661"/>
      <c r="AV31" s="280"/>
      <c r="AW31" s="661"/>
      <c r="AX31" s="280"/>
      <c r="AY31" s="656"/>
      <c r="AZ31" s="563">
        <f t="shared" si="20"/>
        <v>0</v>
      </c>
      <c r="BA31" s="565">
        <f t="shared" si="21"/>
        <v>0</v>
      </c>
      <c r="BB31" s="31">
        <f>'t1'!AS29</f>
        <v>0</v>
      </c>
    </row>
    <row r="32" spans="1:54" ht="12.75" customHeight="1" thickBot="1">
      <c r="A32" s="155" t="str">
        <f>'t1'!A30</f>
        <v>COADIUTORE TEMPO DET. TERMINE ATTIV DIDATT</v>
      </c>
      <c r="B32" s="229" t="str">
        <f>'t1'!B30</f>
        <v>011CNA</v>
      </c>
      <c r="C32" s="944">
        <f t="shared" si="19"/>
        <v>0</v>
      </c>
      <c r="D32" s="945">
        <f t="shared" si="0"/>
        <v>0</v>
      </c>
      <c r="E32" s="944">
        <f t="shared" si="1"/>
        <v>0</v>
      </c>
      <c r="F32" s="945">
        <f t="shared" si="2"/>
        <v>0</v>
      </c>
      <c r="G32" s="944">
        <f t="shared" si="3"/>
        <v>0</v>
      </c>
      <c r="H32" s="945">
        <f t="shared" si="4"/>
        <v>0</v>
      </c>
      <c r="I32" s="944">
        <f t="shared" si="5"/>
        <v>0</v>
      </c>
      <c r="J32" s="945">
        <f t="shared" si="6"/>
        <v>0</v>
      </c>
      <c r="K32" s="944">
        <f t="shared" si="7"/>
        <v>0</v>
      </c>
      <c r="L32" s="945">
        <f t="shared" si="8"/>
        <v>0</v>
      </c>
      <c r="M32" s="944">
        <f t="shared" si="9"/>
        <v>0</v>
      </c>
      <c r="N32" s="945">
        <f t="shared" si="10"/>
        <v>0</v>
      </c>
      <c r="O32" s="944">
        <f t="shared" si="11"/>
        <v>0</v>
      </c>
      <c r="P32" s="946">
        <f t="shared" si="12"/>
        <v>0</v>
      </c>
      <c r="Q32" s="944">
        <f t="shared" si="13"/>
        <v>0</v>
      </c>
      <c r="R32" s="946">
        <f t="shared" si="14"/>
        <v>0</v>
      </c>
      <c r="S32" s="944">
        <f t="shared" si="15"/>
        <v>0</v>
      </c>
      <c r="T32" s="947">
        <f t="shared" si="16"/>
        <v>0</v>
      </c>
      <c r="U32" s="563">
        <f t="shared" si="17"/>
        <v>0</v>
      </c>
      <c r="V32" s="565">
        <f t="shared" si="18"/>
        <v>0</v>
      </c>
      <c r="W32" s="31">
        <f>'t1'!N30</f>
        <v>0</v>
      </c>
      <c r="AH32" s="280"/>
      <c r="AI32" s="281"/>
      <c r="AJ32" s="280"/>
      <c r="AK32" s="281"/>
      <c r="AL32" s="280"/>
      <c r="AM32" s="281"/>
      <c r="AN32" s="280"/>
      <c r="AO32" s="281"/>
      <c r="AP32" s="280"/>
      <c r="AQ32" s="281"/>
      <c r="AR32" s="280"/>
      <c r="AS32" s="281"/>
      <c r="AT32" s="280"/>
      <c r="AU32" s="661"/>
      <c r="AV32" s="280"/>
      <c r="AW32" s="661"/>
      <c r="AX32" s="280"/>
      <c r="AY32" s="656"/>
      <c r="AZ32" s="563">
        <f t="shared" si="20"/>
        <v>0</v>
      </c>
      <c r="BA32" s="565">
        <f t="shared" si="21"/>
        <v>0</v>
      </c>
      <c r="BB32" s="31">
        <f>'t1'!AS30</f>
        <v>0</v>
      </c>
    </row>
    <row r="33" spans="1:53" ht="12.75" customHeight="1" thickBot="1" thickTop="1">
      <c r="A33" s="34" t="s">
        <v>82</v>
      </c>
      <c r="B33" s="694"/>
      <c r="C33" s="488">
        <f aca="true" t="shared" si="22" ref="C33:V33">SUM(C8:C32)</f>
        <v>1039</v>
      </c>
      <c r="D33" s="489">
        <f t="shared" si="22"/>
        <v>775</v>
      </c>
      <c r="E33" s="488">
        <f t="shared" si="22"/>
        <v>139</v>
      </c>
      <c r="F33" s="489">
        <f t="shared" si="22"/>
        <v>157</v>
      </c>
      <c r="G33" s="488">
        <f t="shared" si="22"/>
        <v>0</v>
      </c>
      <c r="H33" s="489">
        <f t="shared" si="22"/>
        <v>0</v>
      </c>
      <c r="I33" s="488">
        <f t="shared" si="22"/>
        <v>2</v>
      </c>
      <c r="J33" s="489">
        <f t="shared" si="22"/>
        <v>52</v>
      </c>
      <c r="K33" s="488">
        <f t="shared" si="22"/>
        <v>6</v>
      </c>
      <c r="L33" s="489">
        <f t="shared" si="22"/>
        <v>134</v>
      </c>
      <c r="M33" s="488">
        <f t="shared" si="22"/>
        <v>12</v>
      </c>
      <c r="N33" s="489">
        <f t="shared" si="22"/>
        <v>57</v>
      </c>
      <c r="O33" s="488">
        <f t="shared" si="22"/>
        <v>0</v>
      </c>
      <c r="P33" s="662">
        <f t="shared" si="22"/>
        <v>0</v>
      </c>
      <c r="Q33" s="488">
        <f t="shared" si="22"/>
        <v>7</v>
      </c>
      <c r="R33" s="662">
        <f t="shared" si="22"/>
        <v>4</v>
      </c>
      <c r="S33" s="488">
        <f t="shared" si="22"/>
        <v>1</v>
      </c>
      <c r="T33" s="657">
        <f t="shared" si="22"/>
        <v>6</v>
      </c>
      <c r="U33" s="488">
        <f t="shared" si="22"/>
        <v>1206</v>
      </c>
      <c r="V33" s="490">
        <f t="shared" si="22"/>
        <v>1185</v>
      </c>
      <c r="AH33" s="488">
        <f aca="true" t="shared" si="23" ref="AH33:BA33">SUM(AH8:AH32)</f>
        <v>1039</v>
      </c>
      <c r="AI33" s="489">
        <f t="shared" si="23"/>
        <v>775</v>
      </c>
      <c r="AJ33" s="488">
        <f t="shared" si="23"/>
        <v>139</v>
      </c>
      <c r="AK33" s="489">
        <f t="shared" si="23"/>
        <v>157</v>
      </c>
      <c r="AL33" s="488">
        <f t="shared" si="23"/>
        <v>0</v>
      </c>
      <c r="AM33" s="489">
        <f t="shared" si="23"/>
        <v>0</v>
      </c>
      <c r="AN33" s="488">
        <f t="shared" si="23"/>
        <v>2</v>
      </c>
      <c r="AO33" s="489">
        <f t="shared" si="23"/>
        <v>52</v>
      </c>
      <c r="AP33" s="488">
        <f t="shared" si="23"/>
        <v>6</v>
      </c>
      <c r="AQ33" s="489">
        <f t="shared" si="23"/>
        <v>134</v>
      </c>
      <c r="AR33" s="488">
        <f t="shared" si="23"/>
        <v>12</v>
      </c>
      <c r="AS33" s="489">
        <f t="shared" si="23"/>
        <v>57</v>
      </c>
      <c r="AT33" s="488">
        <f t="shared" si="23"/>
        <v>0</v>
      </c>
      <c r="AU33" s="662">
        <f t="shared" si="23"/>
        <v>0</v>
      </c>
      <c r="AV33" s="488">
        <f t="shared" si="23"/>
        <v>7</v>
      </c>
      <c r="AW33" s="662">
        <f t="shared" si="23"/>
        <v>4</v>
      </c>
      <c r="AX33" s="488">
        <f t="shared" si="23"/>
        <v>1</v>
      </c>
      <c r="AY33" s="657">
        <f t="shared" si="23"/>
        <v>6</v>
      </c>
      <c r="AZ33" s="488">
        <f t="shared" si="23"/>
        <v>1206</v>
      </c>
      <c r="BA33" s="490">
        <f t="shared" si="23"/>
        <v>1185</v>
      </c>
    </row>
    <row r="34" spans="1:40" ht="17.25" customHeight="1">
      <c r="A34" s="26"/>
      <c r="B34" s="7"/>
      <c r="C34" s="5"/>
      <c r="D34" s="5"/>
      <c r="E34" s="5"/>
      <c r="F34" s="5"/>
      <c r="G34" s="5"/>
      <c r="I34" s="5"/>
      <c r="AH34" s="5"/>
      <c r="AI34" s="5"/>
      <c r="AJ34" s="5"/>
      <c r="AK34" s="5"/>
      <c r="AL34" s="5"/>
      <c r="AN34" s="5"/>
    </row>
    <row r="35" ht="11.25">
      <c r="A35" s="26"/>
    </row>
  </sheetData>
  <sheetProtection password="EA98" sheet="1" formatColumns="0" selectLockedCells="1"/>
  <mergeCells count="39">
    <mergeCell ref="G4:H4"/>
    <mergeCell ref="G5:H5"/>
    <mergeCell ref="M4:N4"/>
    <mergeCell ref="O5:P5"/>
    <mergeCell ref="Q5:R5"/>
    <mergeCell ref="S5:T5"/>
    <mergeCell ref="O4:P4"/>
    <mergeCell ref="Q4:R4"/>
    <mergeCell ref="S4:T4"/>
    <mergeCell ref="M5:N5"/>
    <mergeCell ref="K5:L5"/>
    <mergeCell ref="I4:J4"/>
    <mergeCell ref="I5:J5"/>
    <mergeCell ref="K4:L4"/>
    <mergeCell ref="I2:J2"/>
    <mergeCell ref="A1:J1"/>
    <mergeCell ref="C5:D5"/>
    <mergeCell ref="E5:F5"/>
    <mergeCell ref="E4:F4"/>
    <mergeCell ref="G2:H2"/>
    <mergeCell ref="AL2:AM2"/>
    <mergeCell ref="AN2:AO2"/>
    <mergeCell ref="AJ4:AK4"/>
    <mergeCell ref="AL4:AM4"/>
    <mergeCell ref="AN4:AO4"/>
    <mergeCell ref="AP4:AQ4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R4:AS4"/>
    <mergeCell ref="AT4:AU4"/>
    <mergeCell ref="AV4:AW4"/>
    <mergeCell ref="AX4:AY4"/>
  </mergeCells>
  <conditionalFormatting sqref="A8:V32">
    <cfRule type="expression" priority="3" dxfId="3" stopIfTrue="1">
      <formula>$W8</formula>
    </cfRule>
  </conditionalFormatting>
  <conditionalFormatting sqref="AH8:BA32">
    <cfRule type="expression" priority="2" dxfId="3" stopIfTrue="1">
      <formula>$W8</formula>
    </cfRule>
  </conditionalFormatting>
  <conditionalFormatting sqref="AH8:AY28">
    <cfRule type="expression" priority="1" dxfId="3" stopIfTrue="1">
      <formula>$W8</formula>
    </cfRule>
  </conditionalFormatting>
  <printOptions horizontalCentered="1" verticalCentered="1"/>
  <pageMargins left="0" right="0" top="0.1968503937007874" bottom="0.15748031496062992" header="0.15748031496062992" footer="0.1968503937007874"/>
  <pageSetup horizontalDpi="600" verticalDpi="600" orientation="landscape" paperSize="9" scale="6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9"/>
  <dimension ref="A1:AJ35"/>
  <sheetViews>
    <sheetView showGridLines="0" zoomScalePageLayoutView="0" workbookViewId="0" topLeftCell="A1">
      <pane xSplit="2" ySplit="5" topLeftCell="AA6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A6" sqref="AA6"/>
    </sheetView>
  </sheetViews>
  <sheetFormatPr defaultColWidth="9.33203125" defaultRowHeight="10.5"/>
  <cols>
    <col min="1" max="1" width="57.83203125" style="5" customWidth="1"/>
    <col min="2" max="2" width="11" style="7" customWidth="1"/>
    <col min="3" max="3" width="14.83203125" style="5" hidden="1" customWidth="1"/>
    <col min="4" max="10" width="16.83203125" style="5" hidden="1" customWidth="1"/>
    <col min="11" max="26" width="9.33203125" style="5" hidden="1" customWidth="1"/>
    <col min="27" max="27" width="14.83203125" style="5" customWidth="1"/>
    <col min="28" max="34" width="16.83203125" style="5" customWidth="1"/>
    <col min="35" max="35" width="0" style="5" hidden="1" customWidth="1"/>
    <col min="36" max="16384" width="9.33203125" style="5" customWidth="1"/>
  </cols>
  <sheetData>
    <row r="1" spans="1:36" ht="33" customHeight="1">
      <c r="A1" s="1155" t="str">
        <f>'t1'!A1</f>
        <v>COMPARTO AFAM - anno 2016</v>
      </c>
      <c r="B1" s="1155"/>
      <c r="C1" s="1155"/>
      <c r="D1" s="1155"/>
      <c r="E1" s="1155"/>
      <c r="F1" s="1155"/>
      <c r="G1" s="1155"/>
      <c r="H1" s="1155"/>
      <c r="I1" s="3"/>
      <c r="J1" s="320"/>
      <c r="L1"/>
      <c r="AG1" s="3"/>
      <c r="AH1" s="320"/>
      <c r="AJ1"/>
    </row>
    <row r="2" spans="1:34" ht="27" customHeight="1" thickBot="1">
      <c r="A2" s="6"/>
      <c r="G2" s="1156"/>
      <c r="H2" s="1156"/>
      <c r="I2" s="1156"/>
      <c r="J2" s="1156"/>
      <c r="AE2" s="1156"/>
      <c r="AF2" s="1156"/>
      <c r="AG2" s="1156"/>
      <c r="AH2" s="1156"/>
    </row>
    <row r="3" spans="1:34" ht="12" thickBot="1">
      <c r="A3" s="12"/>
      <c r="B3" s="13"/>
      <c r="C3" s="127" t="s">
        <v>267</v>
      </c>
      <c r="D3" s="14"/>
      <c r="E3" s="14"/>
      <c r="F3" s="14"/>
      <c r="G3" s="14"/>
      <c r="H3" s="14"/>
      <c r="I3" s="123"/>
      <c r="J3" s="123"/>
      <c r="AA3" s="127" t="s">
        <v>267</v>
      </c>
      <c r="AB3" s="14"/>
      <c r="AC3" s="14"/>
      <c r="AD3" s="14"/>
      <c r="AE3" s="14"/>
      <c r="AF3" s="14"/>
      <c r="AG3" s="123"/>
      <c r="AH3" s="123"/>
    </row>
    <row r="4" spans="1:34" ht="45.75" thickTop="1">
      <c r="A4" s="27" t="s">
        <v>152</v>
      </c>
      <c r="B4" s="124" t="s">
        <v>78</v>
      </c>
      <c r="C4" s="125" t="s">
        <v>191</v>
      </c>
      <c r="D4" s="125" t="s">
        <v>153</v>
      </c>
      <c r="E4" s="125" t="s">
        <v>264</v>
      </c>
      <c r="F4" s="125" t="s">
        <v>117</v>
      </c>
      <c r="G4" s="125" t="s">
        <v>189</v>
      </c>
      <c r="H4" s="125" t="s">
        <v>190</v>
      </c>
      <c r="I4" s="125" t="s">
        <v>118</v>
      </c>
      <c r="J4" s="696" t="s">
        <v>82</v>
      </c>
      <c r="AA4" s="125" t="s">
        <v>191</v>
      </c>
      <c r="AB4" s="125" t="s">
        <v>153</v>
      </c>
      <c r="AC4" s="125" t="s">
        <v>264</v>
      </c>
      <c r="AD4" s="125" t="s">
        <v>117</v>
      </c>
      <c r="AE4" s="125" t="s">
        <v>189</v>
      </c>
      <c r="AF4" s="125" t="s">
        <v>190</v>
      </c>
      <c r="AG4" s="125" t="s">
        <v>118</v>
      </c>
      <c r="AH4" s="696" t="s">
        <v>82</v>
      </c>
    </row>
    <row r="5" spans="1:34" s="275" customFormat="1" ht="11.25" thickBot="1">
      <c r="A5" s="926" t="s">
        <v>687</v>
      </c>
      <c r="B5" s="294"/>
      <c r="C5" s="295" t="s">
        <v>442</v>
      </c>
      <c r="D5" s="295" t="s">
        <v>436</v>
      </c>
      <c r="E5" s="295" t="s">
        <v>437</v>
      </c>
      <c r="F5" s="295" t="s">
        <v>438</v>
      </c>
      <c r="G5" s="295" t="s">
        <v>439</v>
      </c>
      <c r="H5" s="295" t="s">
        <v>440</v>
      </c>
      <c r="I5" s="295" t="s">
        <v>441</v>
      </c>
      <c r="J5" s="296"/>
      <c r="AA5" s="295" t="s">
        <v>442</v>
      </c>
      <c r="AB5" s="295" t="s">
        <v>436</v>
      </c>
      <c r="AC5" s="295" t="s">
        <v>437</v>
      </c>
      <c r="AD5" s="295" t="s">
        <v>438</v>
      </c>
      <c r="AE5" s="295" t="s">
        <v>439</v>
      </c>
      <c r="AF5" s="295" t="s">
        <v>440</v>
      </c>
      <c r="AG5" s="295" t="s">
        <v>441</v>
      </c>
      <c r="AH5" s="296"/>
    </row>
    <row r="6" spans="1:35" ht="12.75" customHeight="1" thickTop="1">
      <c r="A6" s="25" t="str">
        <f>'t1'!A6</f>
        <v>DIRIGENTE SCOLASTICO</v>
      </c>
      <c r="B6" s="236" t="str">
        <f>'t1'!B6</f>
        <v>0D0158</v>
      </c>
      <c r="C6" s="213">
        <f>ROUND(AA6,2)</f>
        <v>0</v>
      </c>
      <c r="D6" s="948">
        <f>ROUND(AB6,0)</f>
        <v>0</v>
      </c>
      <c r="E6" s="948">
        <f aca="true" t="shared" si="0" ref="E6:E30">ROUND(AC6,0)</f>
        <v>0</v>
      </c>
      <c r="F6" s="948">
        <f aca="true" t="shared" si="1" ref="F6:F30">ROUND(AD6,0)</f>
        <v>0</v>
      </c>
      <c r="G6" s="948">
        <f aca="true" t="shared" si="2" ref="G6:G30">ROUND(AE6,0)</f>
        <v>0</v>
      </c>
      <c r="H6" s="948">
        <f aca="true" t="shared" si="3" ref="H6:H30">ROUND(AF6,0)</f>
        <v>0</v>
      </c>
      <c r="I6" s="949">
        <f aca="true" t="shared" si="4" ref="I6:I30">ROUND(AG6,0)</f>
        <v>0</v>
      </c>
      <c r="J6" s="494">
        <f>(D6+E6+F6+G6+H6)-I6</f>
        <v>0</v>
      </c>
      <c r="K6" s="5">
        <f>'t1'!N6</f>
        <v>0</v>
      </c>
      <c r="AA6" s="213"/>
      <c r="AB6" s="211"/>
      <c r="AC6" s="211"/>
      <c r="AD6" s="211"/>
      <c r="AE6" s="211"/>
      <c r="AF6" s="211"/>
      <c r="AG6" s="212"/>
      <c r="AH6" s="494">
        <f>(AB6+AC6+AD6+AE6+AF6)-AG6</f>
        <v>0</v>
      </c>
      <c r="AI6" s="5">
        <f>'t1'!AL6</f>
        <v>0</v>
      </c>
    </row>
    <row r="7" spans="1:35" ht="12" customHeight="1">
      <c r="A7" s="155" t="str">
        <f>'t1'!A7</f>
        <v>PROFESSORI DI PRIMA FASCIA</v>
      </c>
      <c r="B7" s="229" t="str">
        <f>'t1'!B7</f>
        <v>018P01</v>
      </c>
      <c r="C7" s="213">
        <f aca="true" t="shared" si="5" ref="C7:C30">ROUND(AA7,2)</f>
        <v>0</v>
      </c>
      <c r="D7" s="948">
        <f aca="true" t="shared" si="6" ref="D7:D30">ROUND(AB7,0)</f>
        <v>0</v>
      </c>
      <c r="E7" s="948">
        <f t="shared" si="0"/>
        <v>0</v>
      </c>
      <c r="F7" s="948">
        <f t="shared" si="1"/>
        <v>0</v>
      </c>
      <c r="G7" s="948">
        <f t="shared" si="2"/>
        <v>0</v>
      </c>
      <c r="H7" s="948">
        <f t="shared" si="3"/>
        <v>0</v>
      </c>
      <c r="I7" s="949">
        <f t="shared" si="4"/>
        <v>0</v>
      </c>
      <c r="J7" s="494">
        <f aca="true" t="shared" si="7" ref="J7:J31">(D7+E7+F7+G7+H7)-I7</f>
        <v>0</v>
      </c>
      <c r="K7" s="5">
        <f>'t1'!N7</f>
        <v>9</v>
      </c>
      <c r="AA7" s="213"/>
      <c r="AB7" s="211"/>
      <c r="AC7" s="211"/>
      <c r="AD7" s="211"/>
      <c r="AE7" s="211"/>
      <c r="AF7" s="211"/>
      <c r="AG7" s="212"/>
      <c r="AH7" s="494">
        <f aca="true" t="shared" si="8" ref="AH7:AH31">(AB7+AC7+AD7+AE7+AF7)-AG7</f>
        <v>0</v>
      </c>
      <c r="AI7" s="5">
        <f>'t1'!AL7</f>
        <v>9</v>
      </c>
    </row>
    <row r="8" spans="1:35" ht="12" customHeight="1">
      <c r="A8" s="155" t="str">
        <f>'t1'!A8</f>
        <v>PROFESSORI DI SECONDA FASCIA</v>
      </c>
      <c r="B8" s="229" t="str">
        <f>'t1'!B8</f>
        <v>016P02</v>
      </c>
      <c r="C8" s="213">
        <f t="shared" si="5"/>
        <v>0</v>
      </c>
      <c r="D8" s="948">
        <f t="shared" si="6"/>
        <v>0</v>
      </c>
      <c r="E8" s="948">
        <f t="shared" si="0"/>
        <v>0</v>
      </c>
      <c r="F8" s="948">
        <f t="shared" si="1"/>
        <v>0</v>
      </c>
      <c r="G8" s="948">
        <f t="shared" si="2"/>
        <v>0</v>
      </c>
      <c r="H8" s="948">
        <f t="shared" si="3"/>
        <v>0</v>
      </c>
      <c r="I8" s="949">
        <f t="shared" si="4"/>
        <v>0</v>
      </c>
      <c r="J8" s="494">
        <f t="shared" si="7"/>
        <v>0</v>
      </c>
      <c r="K8" s="5">
        <f>'t1'!N8</f>
        <v>7</v>
      </c>
      <c r="AA8" s="213"/>
      <c r="AB8" s="211"/>
      <c r="AC8" s="211"/>
      <c r="AD8" s="211"/>
      <c r="AE8" s="211"/>
      <c r="AF8" s="211"/>
      <c r="AG8" s="212"/>
      <c r="AH8" s="494">
        <f t="shared" si="8"/>
        <v>0</v>
      </c>
      <c r="AI8" s="5">
        <f>'t1'!AL8</f>
        <v>7</v>
      </c>
    </row>
    <row r="9" spans="1:35" ht="12" customHeight="1">
      <c r="A9" s="155" t="str">
        <f>'t1'!A9</f>
        <v>DIRETTORE AMMINISTRATIVO EP2</v>
      </c>
      <c r="B9" s="229" t="str">
        <f>'t1'!B9</f>
        <v>013504</v>
      </c>
      <c r="C9" s="213">
        <f t="shared" si="5"/>
        <v>0</v>
      </c>
      <c r="D9" s="948">
        <f t="shared" si="6"/>
        <v>0</v>
      </c>
      <c r="E9" s="948">
        <f t="shared" si="0"/>
        <v>0</v>
      </c>
      <c r="F9" s="948">
        <f t="shared" si="1"/>
        <v>0</v>
      </c>
      <c r="G9" s="948">
        <f t="shared" si="2"/>
        <v>0</v>
      </c>
      <c r="H9" s="948">
        <f t="shared" si="3"/>
        <v>0</v>
      </c>
      <c r="I9" s="949">
        <f t="shared" si="4"/>
        <v>0</v>
      </c>
      <c r="J9" s="494">
        <f t="shared" si="7"/>
        <v>0</v>
      </c>
      <c r="K9" s="5">
        <f>'t1'!N9</f>
        <v>1</v>
      </c>
      <c r="AA9" s="213"/>
      <c r="AB9" s="211"/>
      <c r="AC9" s="211"/>
      <c r="AD9" s="211"/>
      <c r="AE9" s="211"/>
      <c r="AF9" s="211"/>
      <c r="AG9" s="212"/>
      <c r="AH9" s="494">
        <f t="shared" si="8"/>
        <v>0</v>
      </c>
      <c r="AI9" s="5">
        <f>'t1'!AL9</f>
        <v>1</v>
      </c>
    </row>
    <row r="10" spans="1:35" ht="12" customHeight="1">
      <c r="A10" s="155" t="str">
        <f>'t1'!A10</f>
        <v>DIRETTORE DELL UFFICIO DI RAGIONERIA (EP1)</v>
      </c>
      <c r="B10" s="229" t="str">
        <f>'t1'!B10</f>
        <v>013159</v>
      </c>
      <c r="C10" s="213">
        <f t="shared" si="5"/>
        <v>0</v>
      </c>
      <c r="D10" s="948">
        <f t="shared" si="6"/>
        <v>0</v>
      </c>
      <c r="E10" s="948">
        <f t="shared" si="0"/>
        <v>0</v>
      </c>
      <c r="F10" s="948">
        <f t="shared" si="1"/>
        <v>0</v>
      </c>
      <c r="G10" s="948">
        <f t="shared" si="2"/>
        <v>0</v>
      </c>
      <c r="H10" s="948">
        <f t="shared" si="3"/>
        <v>0</v>
      </c>
      <c r="I10" s="949">
        <f t="shared" si="4"/>
        <v>0</v>
      </c>
      <c r="J10" s="494">
        <f t="shared" si="7"/>
        <v>0</v>
      </c>
      <c r="K10" s="5">
        <f>'t1'!N10</f>
        <v>1</v>
      </c>
      <c r="AA10" s="213"/>
      <c r="AB10" s="211"/>
      <c r="AC10" s="211"/>
      <c r="AD10" s="211"/>
      <c r="AE10" s="211"/>
      <c r="AF10" s="211"/>
      <c r="AG10" s="212"/>
      <c r="AH10" s="494">
        <f t="shared" si="8"/>
        <v>0</v>
      </c>
      <c r="AI10" s="5">
        <f>'t1'!AL10</f>
        <v>1</v>
      </c>
    </row>
    <row r="11" spans="1:35" ht="12" customHeight="1">
      <c r="A11" s="155" t="str">
        <f>'t1'!A11</f>
        <v>COORDINATORE DI BIBLIOTECA TECNICO E AMMINISTRATIVO(D)</v>
      </c>
      <c r="B11" s="229" t="str">
        <f>'t1'!B11</f>
        <v>013DTE</v>
      </c>
      <c r="C11" s="213">
        <f t="shared" si="5"/>
        <v>0</v>
      </c>
      <c r="D11" s="948">
        <f t="shared" si="6"/>
        <v>0</v>
      </c>
      <c r="E11" s="948">
        <f t="shared" si="0"/>
        <v>0</v>
      </c>
      <c r="F11" s="948">
        <f t="shared" si="1"/>
        <v>0</v>
      </c>
      <c r="G11" s="948">
        <f t="shared" si="2"/>
        <v>0</v>
      </c>
      <c r="H11" s="948">
        <f t="shared" si="3"/>
        <v>0</v>
      </c>
      <c r="I11" s="949">
        <f t="shared" si="4"/>
        <v>0</v>
      </c>
      <c r="J11" s="494">
        <f t="shared" si="7"/>
        <v>0</v>
      </c>
      <c r="K11" s="5">
        <f>'t1'!N11</f>
        <v>0</v>
      </c>
      <c r="AA11" s="213"/>
      <c r="AB11" s="211"/>
      <c r="AC11" s="211"/>
      <c r="AD11" s="211"/>
      <c r="AE11" s="211"/>
      <c r="AF11" s="211"/>
      <c r="AG11" s="212"/>
      <c r="AH11" s="494">
        <f t="shared" si="8"/>
        <v>0</v>
      </c>
      <c r="AI11" s="5">
        <f>'t1'!AL11</f>
        <v>0</v>
      </c>
    </row>
    <row r="12" spans="1:35" ht="12" customHeight="1">
      <c r="A12" s="155" t="str">
        <f>'t1'!A12</f>
        <v>COLLABORATORE TEC. AMMIN. DI BIBLIOT. E DI LAB. (C)</v>
      </c>
      <c r="B12" s="229" t="str">
        <f>'t1'!B12</f>
        <v>013CTE</v>
      </c>
      <c r="C12" s="213">
        <f t="shared" si="5"/>
        <v>0</v>
      </c>
      <c r="D12" s="948">
        <f t="shared" si="6"/>
        <v>0</v>
      </c>
      <c r="E12" s="948">
        <f t="shared" si="0"/>
        <v>0</v>
      </c>
      <c r="F12" s="948">
        <f t="shared" si="1"/>
        <v>0</v>
      </c>
      <c r="G12" s="948">
        <f t="shared" si="2"/>
        <v>0</v>
      </c>
      <c r="H12" s="948">
        <f t="shared" si="3"/>
        <v>0</v>
      </c>
      <c r="I12" s="949">
        <f t="shared" si="4"/>
        <v>0</v>
      </c>
      <c r="J12" s="494">
        <f t="shared" si="7"/>
        <v>0</v>
      </c>
      <c r="K12" s="5">
        <f>'t1'!N12</f>
        <v>0</v>
      </c>
      <c r="AA12" s="213"/>
      <c r="AB12" s="211"/>
      <c r="AC12" s="211"/>
      <c r="AD12" s="211"/>
      <c r="AE12" s="211"/>
      <c r="AF12" s="211"/>
      <c r="AG12" s="212"/>
      <c r="AH12" s="494">
        <f t="shared" si="8"/>
        <v>0</v>
      </c>
      <c r="AI12" s="5">
        <f>'t1'!AL12</f>
        <v>0</v>
      </c>
    </row>
    <row r="13" spans="1:35" ht="12" customHeight="1">
      <c r="A13" s="155" t="str">
        <f>'t1'!A13</f>
        <v>ASSISTENTE AMMINISTRATIVO (B)</v>
      </c>
      <c r="B13" s="229" t="str">
        <f>'t1'!B13</f>
        <v>012117</v>
      </c>
      <c r="C13" s="213">
        <f t="shared" si="5"/>
        <v>0</v>
      </c>
      <c r="D13" s="948">
        <f t="shared" si="6"/>
        <v>0</v>
      </c>
      <c r="E13" s="948">
        <f t="shared" si="0"/>
        <v>0</v>
      </c>
      <c r="F13" s="948">
        <f t="shared" si="1"/>
        <v>0</v>
      </c>
      <c r="G13" s="948">
        <f t="shared" si="2"/>
        <v>0</v>
      </c>
      <c r="H13" s="948">
        <f t="shared" si="3"/>
        <v>0</v>
      </c>
      <c r="I13" s="949">
        <f t="shared" si="4"/>
        <v>0</v>
      </c>
      <c r="J13" s="494">
        <f t="shared" si="7"/>
        <v>0</v>
      </c>
      <c r="K13" s="5">
        <f>'t1'!N13</f>
        <v>4</v>
      </c>
      <c r="AA13" s="213"/>
      <c r="AB13" s="211"/>
      <c r="AC13" s="211"/>
      <c r="AD13" s="211"/>
      <c r="AE13" s="211"/>
      <c r="AF13" s="211"/>
      <c r="AG13" s="212"/>
      <c r="AH13" s="494">
        <f t="shared" si="8"/>
        <v>0</v>
      </c>
      <c r="AI13" s="5">
        <f>'t1'!AL13</f>
        <v>4</v>
      </c>
    </row>
    <row r="14" spans="1:35" ht="12" customHeight="1">
      <c r="A14" s="155" t="str">
        <f>'t1'!A14</f>
        <v>COADIUTORE (A)</v>
      </c>
      <c r="B14" s="229" t="str">
        <f>'t1'!B14</f>
        <v>011121</v>
      </c>
      <c r="C14" s="213">
        <f t="shared" si="5"/>
        <v>0</v>
      </c>
      <c r="D14" s="948">
        <f t="shared" si="6"/>
        <v>0</v>
      </c>
      <c r="E14" s="948">
        <f t="shared" si="0"/>
        <v>0</v>
      </c>
      <c r="F14" s="948">
        <f t="shared" si="1"/>
        <v>0</v>
      </c>
      <c r="G14" s="948">
        <f t="shared" si="2"/>
        <v>0</v>
      </c>
      <c r="H14" s="948">
        <f t="shared" si="3"/>
        <v>0</v>
      </c>
      <c r="I14" s="949">
        <f t="shared" si="4"/>
        <v>0</v>
      </c>
      <c r="J14" s="494">
        <f t="shared" si="7"/>
        <v>0</v>
      </c>
      <c r="K14" s="5">
        <f>'t1'!N14</f>
        <v>6</v>
      </c>
      <c r="AA14" s="213"/>
      <c r="AB14" s="211"/>
      <c r="AC14" s="211"/>
      <c r="AD14" s="211"/>
      <c r="AE14" s="211"/>
      <c r="AF14" s="211"/>
      <c r="AG14" s="212"/>
      <c r="AH14" s="494">
        <f t="shared" si="8"/>
        <v>0</v>
      </c>
      <c r="AI14" s="5">
        <f>'t1'!AL14</f>
        <v>6</v>
      </c>
    </row>
    <row r="15" spans="1:35" ht="12" customHeight="1">
      <c r="A15" s="155" t="str">
        <f>'t1'!A15</f>
        <v>PROFESSORI DI PRIMA FASCIA TEMPO DET.ANNUALE</v>
      </c>
      <c r="B15" s="229" t="str">
        <f>'t1'!B15</f>
        <v>018PD1</v>
      </c>
      <c r="C15" s="213">
        <f t="shared" si="5"/>
        <v>0</v>
      </c>
      <c r="D15" s="948">
        <f t="shared" si="6"/>
        <v>0</v>
      </c>
      <c r="E15" s="948">
        <f t="shared" si="0"/>
        <v>0</v>
      </c>
      <c r="F15" s="948">
        <f t="shared" si="1"/>
        <v>0</v>
      </c>
      <c r="G15" s="948">
        <f t="shared" si="2"/>
        <v>0</v>
      </c>
      <c r="H15" s="948">
        <f t="shared" si="3"/>
        <v>0</v>
      </c>
      <c r="I15" s="949">
        <f t="shared" si="4"/>
        <v>0</v>
      </c>
      <c r="J15" s="494">
        <f t="shared" si="7"/>
        <v>0</v>
      </c>
      <c r="K15" s="5">
        <f>'t1'!N15</f>
        <v>22</v>
      </c>
      <c r="AA15" s="213"/>
      <c r="AB15" s="211"/>
      <c r="AC15" s="211"/>
      <c r="AD15" s="211"/>
      <c r="AE15" s="211"/>
      <c r="AF15" s="211"/>
      <c r="AG15" s="212"/>
      <c r="AH15" s="494">
        <f t="shared" si="8"/>
        <v>0</v>
      </c>
      <c r="AI15" s="5">
        <f>'t1'!AL15</f>
        <v>22</v>
      </c>
    </row>
    <row r="16" spans="1:35" ht="12" customHeight="1">
      <c r="A16" s="155" t="str">
        <f>'t1'!A16</f>
        <v>PROFESSORI DI SECONDA FASCIA TEMPO DET.ANNUALE</v>
      </c>
      <c r="B16" s="229" t="str">
        <f>'t1'!B16</f>
        <v>016PD2</v>
      </c>
      <c r="C16" s="213">
        <f t="shared" si="5"/>
        <v>0</v>
      </c>
      <c r="D16" s="948">
        <f t="shared" si="6"/>
        <v>0</v>
      </c>
      <c r="E16" s="948">
        <f t="shared" si="0"/>
        <v>0</v>
      </c>
      <c r="F16" s="948">
        <f t="shared" si="1"/>
        <v>0</v>
      </c>
      <c r="G16" s="948">
        <f t="shared" si="2"/>
        <v>0</v>
      </c>
      <c r="H16" s="948">
        <f t="shared" si="3"/>
        <v>0</v>
      </c>
      <c r="I16" s="949">
        <f t="shared" si="4"/>
        <v>0</v>
      </c>
      <c r="J16" s="494">
        <f t="shared" si="7"/>
        <v>0</v>
      </c>
      <c r="K16" s="5">
        <f>'t1'!N16</f>
        <v>6</v>
      </c>
      <c r="AA16" s="213"/>
      <c r="AB16" s="211"/>
      <c r="AC16" s="211"/>
      <c r="AD16" s="211"/>
      <c r="AE16" s="211"/>
      <c r="AF16" s="211"/>
      <c r="AG16" s="212"/>
      <c r="AH16" s="494">
        <f t="shared" si="8"/>
        <v>0</v>
      </c>
      <c r="AI16" s="5">
        <f>'t1'!AL16</f>
        <v>6</v>
      </c>
    </row>
    <row r="17" spans="1:35" ht="12" customHeight="1">
      <c r="A17" s="155" t="str">
        <f>'t1'!A17</f>
        <v>PROFESSORI DI PRIMA FASCIA T. DET. TERMINE ATTIV DIDATT</v>
      </c>
      <c r="B17" s="229" t="str">
        <f>'t1'!B17</f>
        <v>018DD1</v>
      </c>
      <c r="C17" s="213">
        <f t="shared" si="5"/>
        <v>0</v>
      </c>
      <c r="D17" s="948">
        <f t="shared" si="6"/>
        <v>0</v>
      </c>
      <c r="E17" s="948">
        <f t="shared" si="0"/>
        <v>0</v>
      </c>
      <c r="F17" s="948">
        <f t="shared" si="1"/>
        <v>0</v>
      </c>
      <c r="G17" s="948">
        <f t="shared" si="2"/>
        <v>0</v>
      </c>
      <c r="H17" s="948">
        <f t="shared" si="3"/>
        <v>0</v>
      </c>
      <c r="I17" s="949">
        <f t="shared" si="4"/>
        <v>0</v>
      </c>
      <c r="J17" s="494">
        <f t="shared" si="7"/>
        <v>0</v>
      </c>
      <c r="K17" s="5">
        <f>'t1'!N17</f>
        <v>0</v>
      </c>
      <c r="AA17" s="213"/>
      <c r="AB17" s="211"/>
      <c r="AC17" s="211"/>
      <c r="AD17" s="211"/>
      <c r="AE17" s="211"/>
      <c r="AF17" s="211"/>
      <c r="AG17" s="212"/>
      <c r="AH17" s="494">
        <f t="shared" si="8"/>
        <v>0</v>
      </c>
      <c r="AI17" s="5">
        <f>'t1'!AL17</f>
        <v>0</v>
      </c>
    </row>
    <row r="18" spans="1:35" ht="12" customHeight="1">
      <c r="A18" s="155" t="str">
        <f>'t1'!A18</f>
        <v>PROFESSORI DI SECONDA FASCIA T. DET. TERMINE ATTIV DIDATT</v>
      </c>
      <c r="B18" s="229" t="str">
        <f>'t1'!B18</f>
        <v>016DD2</v>
      </c>
      <c r="C18" s="213">
        <f t="shared" si="5"/>
        <v>0</v>
      </c>
      <c r="D18" s="948">
        <f t="shared" si="6"/>
        <v>0</v>
      </c>
      <c r="E18" s="948">
        <f t="shared" si="0"/>
        <v>0</v>
      </c>
      <c r="F18" s="948">
        <f t="shared" si="1"/>
        <v>0</v>
      </c>
      <c r="G18" s="948">
        <f t="shared" si="2"/>
        <v>0</v>
      </c>
      <c r="H18" s="948">
        <f t="shared" si="3"/>
        <v>0</v>
      </c>
      <c r="I18" s="949">
        <f t="shared" si="4"/>
        <v>0</v>
      </c>
      <c r="J18" s="494">
        <f t="shared" si="7"/>
        <v>0</v>
      </c>
      <c r="K18" s="5">
        <f>'t1'!N18</f>
        <v>0</v>
      </c>
      <c r="AA18" s="213"/>
      <c r="AB18" s="211"/>
      <c r="AC18" s="211"/>
      <c r="AD18" s="211"/>
      <c r="AE18" s="211"/>
      <c r="AF18" s="211"/>
      <c r="AG18" s="212"/>
      <c r="AH18" s="494">
        <f t="shared" si="8"/>
        <v>0</v>
      </c>
      <c r="AI18" s="5">
        <f>'t1'!AL18</f>
        <v>0</v>
      </c>
    </row>
    <row r="19" spans="1:35" ht="12" customHeight="1">
      <c r="A19" s="155" t="str">
        <f>'t1'!A19</f>
        <v>DIRETTORE AMMINISTRATIVO TEMPO DET.ANNUALE (EP2)</v>
      </c>
      <c r="B19" s="229" t="str">
        <f>'t1'!B19</f>
        <v>013EP2</v>
      </c>
      <c r="C19" s="213">
        <f t="shared" si="5"/>
        <v>0</v>
      </c>
      <c r="D19" s="948">
        <f t="shared" si="6"/>
        <v>0</v>
      </c>
      <c r="E19" s="948">
        <f t="shared" si="0"/>
        <v>0</v>
      </c>
      <c r="F19" s="948">
        <f t="shared" si="1"/>
        <v>0</v>
      </c>
      <c r="G19" s="948">
        <f t="shared" si="2"/>
        <v>0</v>
      </c>
      <c r="H19" s="948">
        <f t="shared" si="3"/>
        <v>0</v>
      </c>
      <c r="I19" s="949">
        <f t="shared" si="4"/>
        <v>0</v>
      </c>
      <c r="J19" s="494">
        <f t="shared" si="7"/>
        <v>0</v>
      </c>
      <c r="K19" s="5">
        <f>'t1'!N19</f>
        <v>0</v>
      </c>
      <c r="AA19" s="213"/>
      <c r="AB19" s="211"/>
      <c r="AC19" s="211"/>
      <c r="AD19" s="211"/>
      <c r="AE19" s="211"/>
      <c r="AF19" s="211"/>
      <c r="AG19" s="212"/>
      <c r="AH19" s="494">
        <f t="shared" si="8"/>
        <v>0</v>
      </c>
      <c r="AI19" s="5">
        <f>'t1'!AL19</f>
        <v>0</v>
      </c>
    </row>
    <row r="20" spans="1:35" ht="12" customHeight="1">
      <c r="A20" s="155" t="str">
        <f>'t1'!A20</f>
        <v>DIRETTORE DELL UFFICIO DI RAGIONERIA TEMPO DET.ANNUALE (EP1)</v>
      </c>
      <c r="B20" s="229" t="str">
        <f>'t1'!B20</f>
        <v>013160</v>
      </c>
      <c r="C20" s="213">
        <f t="shared" si="5"/>
        <v>0</v>
      </c>
      <c r="D20" s="948">
        <f t="shared" si="6"/>
        <v>0</v>
      </c>
      <c r="E20" s="948">
        <f t="shared" si="0"/>
        <v>0</v>
      </c>
      <c r="F20" s="948">
        <f t="shared" si="1"/>
        <v>0</v>
      </c>
      <c r="G20" s="948">
        <f t="shared" si="2"/>
        <v>0</v>
      </c>
      <c r="H20" s="948">
        <f t="shared" si="3"/>
        <v>0</v>
      </c>
      <c r="I20" s="949">
        <f t="shared" si="4"/>
        <v>0</v>
      </c>
      <c r="J20" s="494">
        <f t="shared" si="7"/>
        <v>0</v>
      </c>
      <c r="K20" s="5">
        <f>'t1'!N20</f>
        <v>0</v>
      </c>
      <c r="AA20" s="213"/>
      <c r="AB20" s="211"/>
      <c r="AC20" s="211"/>
      <c r="AD20" s="211"/>
      <c r="AE20" s="211"/>
      <c r="AF20" s="211"/>
      <c r="AG20" s="212"/>
      <c r="AH20" s="494">
        <f t="shared" si="8"/>
        <v>0</v>
      </c>
      <c r="AI20" s="5">
        <f>'t1'!AL20</f>
        <v>0</v>
      </c>
    </row>
    <row r="21" spans="1:35" ht="12" customHeight="1">
      <c r="A21" s="155" t="str">
        <f>'t1'!A21</f>
        <v>DIRETTORE AMMINISTRATIVO T. DET. TERMINE ATTIV DIDATT(EP2)</v>
      </c>
      <c r="B21" s="229" t="str">
        <f>'t1'!B21</f>
        <v>013E2N</v>
      </c>
      <c r="C21" s="213">
        <f t="shared" si="5"/>
        <v>0</v>
      </c>
      <c r="D21" s="948">
        <f t="shared" si="6"/>
        <v>0</v>
      </c>
      <c r="E21" s="948">
        <f t="shared" si="0"/>
        <v>0</v>
      </c>
      <c r="F21" s="948">
        <f t="shared" si="1"/>
        <v>0</v>
      </c>
      <c r="G21" s="948">
        <f t="shared" si="2"/>
        <v>0</v>
      </c>
      <c r="H21" s="948">
        <f t="shared" si="3"/>
        <v>0</v>
      </c>
      <c r="I21" s="949">
        <f t="shared" si="4"/>
        <v>0</v>
      </c>
      <c r="J21" s="494">
        <f t="shared" si="7"/>
        <v>0</v>
      </c>
      <c r="K21" s="5">
        <f>'t1'!N21</f>
        <v>0</v>
      </c>
      <c r="AA21" s="213"/>
      <c r="AB21" s="211"/>
      <c r="AC21" s="211"/>
      <c r="AD21" s="211"/>
      <c r="AE21" s="211"/>
      <c r="AF21" s="211"/>
      <c r="AG21" s="212"/>
      <c r="AH21" s="494">
        <f t="shared" si="8"/>
        <v>0</v>
      </c>
      <c r="AI21" s="5">
        <f>'t1'!AL21</f>
        <v>0</v>
      </c>
    </row>
    <row r="22" spans="1:35" ht="12" customHeight="1">
      <c r="A22" s="155" t="str">
        <f>'t1'!A22</f>
        <v>DIRETTORE UFF. RAGIONERIA T. DET. TERM. ATTIV DIDATT(EP1)</v>
      </c>
      <c r="B22" s="229" t="str">
        <f>'t1'!B22</f>
        <v>013E1N</v>
      </c>
      <c r="C22" s="213">
        <f t="shared" si="5"/>
        <v>0</v>
      </c>
      <c r="D22" s="948">
        <f t="shared" si="6"/>
        <v>0</v>
      </c>
      <c r="E22" s="948">
        <f t="shared" si="0"/>
        <v>0</v>
      </c>
      <c r="F22" s="948">
        <f t="shared" si="1"/>
        <v>0</v>
      </c>
      <c r="G22" s="948">
        <f t="shared" si="2"/>
        <v>0</v>
      </c>
      <c r="H22" s="948">
        <f t="shared" si="3"/>
        <v>0</v>
      </c>
      <c r="I22" s="949">
        <f t="shared" si="4"/>
        <v>0</v>
      </c>
      <c r="J22" s="494">
        <f t="shared" si="7"/>
        <v>0</v>
      </c>
      <c r="K22" s="5">
        <f>'t1'!N22</f>
        <v>0</v>
      </c>
      <c r="AA22" s="213"/>
      <c r="AB22" s="211"/>
      <c r="AC22" s="211"/>
      <c r="AD22" s="211"/>
      <c r="AE22" s="211"/>
      <c r="AF22" s="211"/>
      <c r="AG22" s="212"/>
      <c r="AH22" s="494">
        <f t="shared" si="8"/>
        <v>0</v>
      </c>
      <c r="AI22" s="5">
        <f>'t1'!AL22</f>
        <v>0</v>
      </c>
    </row>
    <row r="23" spans="1:35" ht="12" customHeight="1">
      <c r="A23" s="155" t="str">
        <f>'t1'!A23</f>
        <v>COORD. DI BIBLIOT., COORD. TEC. E AMM. TEMPO DET.ANNUALE</v>
      </c>
      <c r="B23" s="229" t="str">
        <f>'t1'!B23</f>
        <v>013DDE</v>
      </c>
      <c r="C23" s="213">
        <f t="shared" si="5"/>
        <v>0</v>
      </c>
      <c r="D23" s="948">
        <f t="shared" si="6"/>
        <v>0</v>
      </c>
      <c r="E23" s="948">
        <f t="shared" si="0"/>
        <v>0</v>
      </c>
      <c r="F23" s="948">
        <f t="shared" si="1"/>
        <v>0</v>
      </c>
      <c r="G23" s="948">
        <f t="shared" si="2"/>
        <v>0</v>
      </c>
      <c r="H23" s="948">
        <f t="shared" si="3"/>
        <v>0</v>
      </c>
      <c r="I23" s="949">
        <f t="shared" si="4"/>
        <v>0</v>
      </c>
      <c r="J23" s="494">
        <f t="shared" si="7"/>
        <v>0</v>
      </c>
      <c r="K23" s="5">
        <f>'t1'!N23</f>
        <v>0</v>
      </c>
      <c r="AA23" s="213"/>
      <c r="AB23" s="211"/>
      <c r="AC23" s="211"/>
      <c r="AD23" s="211"/>
      <c r="AE23" s="211"/>
      <c r="AF23" s="211"/>
      <c r="AG23" s="212"/>
      <c r="AH23" s="494">
        <f t="shared" si="8"/>
        <v>0</v>
      </c>
      <c r="AI23" s="5">
        <f>'t1'!AL23</f>
        <v>0</v>
      </c>
    </row>
    <row r="24" spans="1:35" ht="12" customHeight="1">
      <c r="A24" s="155" t="str">
        <f>'t1'!A24</f>
        <v>COLLAB. TEC. AMMIN. DI BIBLIOT. E DI LAB. TEMPO DET.ANNUALE</v>
      </c>
      <c r="B24" s="229" t="str">
        <f>'t1'!B24</f>
        <v>013CDE</v>
      </c>
      <c r="C24" s="213">
        <f t="shared" si="5"/>
        <v>0</v>
      </c>
      <c r="D24" s="948">
        <f t="shared" si="6"/>
        <v>0</v>
      </c>
      <c r="E24" s="948">
        <f t="shared" si="0"/>
        <v>0</v>
      </c>
      <c r="F24" s="948">
        <f t="shared" si="1"/>
        <v>0</v>
      </c>
      <c r="G24" s="948">
        <f t="shared" si="2"/>
        <v>0</v>
      </c>
      <c r="H24" s="948">
        <f t="shared" si="3"/>
        <v>0</v>
      </c>
      <c r="I24" s="949">
        <f t="shared" si="4"/>
        <v>0</v>
      </c>
      <c r="J24" s="494">
        <f t="shared" si="7"/>
        <v>0</v>
      </c>
      <c r="K24" s="5">
        <f>'t1'!N24</f>
        <v>0</v>
      </c>
      <c r="AA24" s="213"/>
      <c r="AB24" s="211"/>
      <c r="AC24" s="211"/>
      <c r="AD24" s="211"/>
      <c r="AE24" s="211"/>
      <c r="AF24" s="211"/>
      <c r="AG24" s="212"/>
      <c r="AH24" s="494">
        <f t="shared" si="8"/>
        <v>0</v>
      </c>
      <c r="AI24" s="5">
        <f>'t1'!AL24</f>
        <v>0</v>
      </c>
    </row>
    <row r="25" spans="1:35" ht="12" customHeight="1">
      <c r="A25" s="155" t="str">
        <f>'t1'!A25</f>
        <v>ASSIST. AMMINISTRATIVO TEMPO DET.ANNUALE</v>
      </c>
      <c r="B25" s="229" t="str">
        <f>'t1'!B25</f>
        <v>012118</v>
      </c>
      <c r="C25" s="213">
        <f t="shared" si="5"/>
        <v>0</v>
      </c>
      <c r="D25" s="948">
        <f t="shared" si="6"/>
        <v>0</v>
      </c>
      <c r="E25" s="948">
        <f t="shared" si="0"/>
        <v>0</v>
      </c>
      <c r="F25" s="948">
        <f t="shared" si="1"/>
        <v>0</v>
      </c>
      <c r="G25" s="948">
        <f t="shared" si="2"/>
        <v>0</v>
      </c>
      <c r="H25" s="948">
        <f t="shared" si="3"/>
        <v>0</v>
      </c>
      <c r="I25" s="949">
        <f t="shared" si="4"/>
        <v>0</v>
      </c>
      <c r="J25" s="494">
        <f t="shared" si="7"/>
        <v>0</v>
      </c>
      <c r="K25" s="5">
        <f>'t1'!N25</f>
        <v>1</v>
      </c>
      <c r="AA25" s="213"/>
      <c r="AB25" s="211"/>
      <c r="AC25" s="211"/>
      <c r="AD25" s="211"/>
      <c r="AE25" s="211"/>
      <c r="AF25" s="211"/>
      <c r="AG25" s="212"/>
      <c r="AH25" s="494">
        <f t="shared" si="8"/>
        <v>0</v>
      </c>
      <c r="AI25" s="5">
        <f>'t1'!AL25</f>
        <v>1</v>
      </c>
    </row>
    <row r="26" spans="1:35" ht="12" customHeight="1">
      <c r="A26" s="155" t="str">
        <f>'t1'!A26</f>
        <v>COADIUTORE TEMPO DET.ANNUALE</v>
      </c>
      <c r="B26" s="229" t="str">
        <f>'t1'!B26</f>
        <v>011124</v>
      </c>
      <c r="C26" s="213">
        <f t="shared" si="5"/>
        <v>0</v>
      </c>
      <c r="D26" s="948">
        <f t="shared" si="6"/>
        <v>0</v>
      </c>
      <c r="E26" s="948">
        <f t="shared" si="0"/>
        <v>0</v>
      </c>
      <c r="F26" s="948">
        <f t="shared" si="1"/>
        <v>0</v>
      </c>
      <c r="G26" s="948">
        <f t="shared" si="2"/>
        <v>0</v>
      </c>
      <c r="H26" s="948">
        <f t="shared" si="3"/>
        <v>0</v>
      </c>
      <c r="I26" s="949">
        <f t="shared" si="4"/>
        <v>0</v>
      </c>
      <c r="J26" s="494">
        <f t="shared" si="7"/>
        <v>0</v>
      </c>
      <c r="K26" s="5">
        <f>'t1'!N26</f>
        <v>4</v>
      </c>
      <c r="AA26" s="213"/>
      <c r="AB26" s="211"/>
      <c r="AC26" s="211"/>
      <c r="AD26" s="211"/>
      <c r="AE26" s="211"/>
      <c r="AF26" s="211"/>
      <c r="AG26" s="212"/>
      <c r="AH26" s="494">
        <f t="shared" si="8"/>
        <v>0</v>
      </c>
      <c r="AI26" s="5">
        <f>'t1'!AL26</f>
        <v>4</v>
      </c>
    </row>
    <row r="27" spans="1:35" ht="12" customHeight="1">
      <c r="A27" s="155" t="str">
        <f>'t1'!A27</f>
        <v>COORD. BIBL., COORD. TEC. E AMM. T. DET. TERM. ATTIV DIDATT</v>
      </c>
      <c r="B27" s="229" t="str">
        <f>'t1'!B27</f>
        <v>013DDN</v>
      </c>
      <c r="C27" s="213">
        <f t="shared" si="5"/>
        <v>0</v>
      </c>
      <c r="D27" s="948">
        <f t="shared" si="6"/>
        <v>0</v>
      </c>
      <c r="E27" s="948">
        <f t="shared" si="0"/>
        <v>0</v>
      </c>
      <c r="F27" s="948">
        <f t="shared" si="1"/>
        <v>0</v>
      </c>
      <c r="G27" s="948">
        <f t="shared" si="2"/>
        <v>0</v>
      </c>
      <c r="H27" s="948">
        <f t="shared" si="3"/>
        <v>0</v>
      </c>
      <c r="I27" s="949">
        <f t="shared" si="4"/>
        <v>0</v>
      </c>
      <c r="J27" s="494">
        <f t="shared" si="7"/>
        <v>0</v>
      </c>
      <c r="K27" s="5">
        <f>'t1'!N27</f>
        <v>0</v>
      </c>
      <c r="AA27" s="213"/>
      <c r="AB27" s="211"/>
      <c r="AC27" s="211"/>
      <c r="AD27" s="211"/>
      <c r="AE27" s="211"/>
      <c r="AF27" s="211"/>
      <c r="AG27" s="212"/>
      <c r="AH27" s="494">
        <f t="shared" si="8"/>
        <v>0</v>
      </c>
      <c r="AI27" s="5">
        <f>'t1'!AL27</f>
        <v>0</v>
      </c>
    </row>
    <row r="28" spans="1:35" ht="12" customHeight="1">
      <c r="A28" s="155" t="str">
        <f>'t1'!A28</f>
        <v>COLLAB. TEC. AMM. BIBL. E DI LAB. T. D. TERM. ATTIV DIDATT</v>
      </c>
      <c r="B28" s="229" t="str">
        <f>'t1'!B28</f>
        <v>013CDN</v>
      </c>
      <c r="C28" s="213">
        <f t="shared" si="5"/>
        <v>0</v>
      </c>
      <c r="D28" s="948">
        <f t="shared" si="6"/>
        <v>0</v>
      </c>
      <c r="E28" s="948">
        <f t="shared" si="0"/>
        <v>0</v>
      </c>
      <c r="F28" s="948">
        <f t="shared" si="1"/>
        <v>0</v>
      </c>
      <c r="G28" s="948">
        <f t="shared" si="2"/>
        <v>0</v>
      </c>
      <c r="H28" s="948">
        <f t="shared" si="3"/>
        <v>0</v>
      </c>
      <c r="I28" s="949">
        <f t="shared" si="4"/>
        <v>0</v>
      </c>
      <c r="J28" s="494">
        <f t="shared" si="7"/>
        <v>0</v>
      </c>
      <c r="K28" s="5">
        <f>'t1'!N28</f>
        <v>0</v>
      </c>
      <c r="AA28" s="213"/>
      <c r="AB28" s="211"/>
      <c r="AC28" s="211"/>
      <c r="AD28" s="211"/>
      <c r="AE28" s="211"/>
      <c r="AF28" s="211"/>
      <c r="AG28" s="212"/>
      <c r="AH28" s="494">
        <f t="shared" si="8"/>
        <v>0</v>
      </c>
      <c r="AI28" s="5">
        <f>'t1'!AL28</f>
        <v>0</v>
      </c>
    </row>
    <row r="29" spans="1:35" ht="12" customHeight="1">
      <c r="A29" s="155" t="str">
        <f>'t1'!A29</f>
        <v>ASSISTENTE AMMINISTRATIVO TEM.DET. TERMINE ATTIV DIDATT</v>
      </c>
      <c r="B29" s="229" t="str">
        <f>'t1'!B29</f>
        <v>016509</v>
      </c>
      <c r="C29" s="213">
        <f t="shared" si="5"/>
        <v>0</v>
      </c>
      <c r="D29" s="948">
        <f t="shared" si="6"/>
        <v>0</v>
      </c>
      <c r="E29" s="948">
        <f t="shared" si="0"/>
        <v>0</v>
      </c>
      <c r="F29" s="948">
        <f t="shared" si="1"/>
        <v>0</v>
      </c>
      <c r="G29" s="948">
        <f t="shared" si="2"/>
        <v>0</v>
      </c>
      <c r="H29" s="948">
        <f t="shared" si="3"/>
        <v>0</v>
      </c>
      <c r="I29" s="949">
        <f t="shared" si="4"/>
        <v>0</v>
      </c>
      <c r="J29" s="494">
        <f t="shared" si="7"/>
        <v>0</v>
      </c>
      <c r="K29" s="5">
        <f>'t1'!N29</f>
        <v>0</v>
      </c>
      <c r="AA29" s="213"/>
      <c r="AB29" s="211"/>
      <c r="AC29" s="211"/>
      <c r="AD29" s="211"/>
      <c r="AE29" s="211"/>
      <c r="AF29" s="211"/>
      <c r="AG29" s="212"/>
      <c r="AH29" s="494">
        <f t="shared" si="8"/>
        <v>0</v>
      </c>
      <c r="AI29" s="5">
        <f>'t1'!AL29</f>
        <v>0</v>
      </c>
    </row>
    <row r="30" spans="1:35" ht="12" customHeight="1" thickBot="1">
      <c r="A30" s="155" t="str">
        <f>'t1'!A30</f>
        <v>COADIUTORE TEMPO DET. TERMINE ATTIV DIDATT</v>
      </c>
      <c r="B30" s="229" t="str">
        <f>'t1'!B30</f>
        <v>011CNA</v>
      </c>
      <c r="C30" s="213">
        <f t="shared" si="5"/>
        <v>0</v>
      </c>
      <c r="D30" s="948">
        <f t="shared" si="6"/>
        <v>0</v>
      </c>
      <c r="E30" s="948">
        <f t="shared" si="0"/>
        <v>0</v>
      </c>
      <c r="F30" s="948">
        <f t="shared" si="1"/>
        <v>0</v>
      </c>
      <c r="G30" s="948">
        <f t="shared" si="2"/>
        <v>0</v>
      </c>
      <c r="H30" s="948">
        <f t="shared" si="3"/>
        <v>0</v>
      </c>
      <c r="I30" s="949">
        <f t="shared" si="4"/>
        <v>0</v>
      </c>
      <c r="J30" s="494">
        <f t="shared" si="7"/>
        <v>0</v>
      </c>
      <c r="K30" s="5">
        <f>'t1'!N30</f>
        <v>0</v>
      </c>
      <c r="AA30" s="213"/>
      <c r="AB30" s="211"/>
      <c r="AC30" s="211"/>
      <c r="AD30" s="211"/>
      <c r="AE30" s="211"/>
      <c r="AF30" s="211"/>
      <c r="AG30" s="212"/>
      <c r="AH30" s="494">
        <f t="shared" si="8"/>
        <v>0</v>
      </c>
      <c r="AI30" s="5">
        <f>'t1'!AL30</f>
        <v>0</v>
      </c>
    </row>
    <row r="31" spans="1:34" ht="12" customHeight="1" thickBot="1" thickTop="1">
      <c r="A31" s="121" t="s">
        <v>82</v>
      </c>
      <c r="B31" s="122"/>
      <c r="C31" s="538">
        <f aca="true" t="shared" si="9" ref="C31:I31">SUM(C6:C30)</f>
        <v>0</v>
      </c>
      <c r="D31" s="492">
        <f t="shared" si="9"/>
        <v>0</v>
      </c>
      <c r="E31" s="492">
        <f t="shared" si="9"/>
        <v>0</v>
      </c>
      <c r="F31" s="492">
        <f t="shared" si="9"/>
        <v>0</v>
      </c>
      <c r="G31" s="492">
        <f t="shared" si="9"/>
        <v>0</v>
      </c>
      <c r="H31" s="492">
        <f t="shared" si="9"/>
        <v>0</v>
      </c>
      <c r="I31" s="492">
        <f t="shared" si="9"/>
        <v>0</v>
      </c>
      <c r="J31" s="493">
        <f t="shared" si="7"/>
        <v>0</v>
      </c>
      <c r="AA31" s="538">
        <f aca="true" t="shared" si="10" ref="AA31:AG31">SUM(AA6:AA30)</f>
        <v>0</v>
      </c>
      <c r="AB31" s="492">
        <f t="shared" si="10"/>
        <v>0</v>
      </c>
      <c r="AC31" s="492">
        <f t="shared" si="10"/>
        <v>0</v>
      </c>
      <c r="AD31" s="492">
        <f t="shared" si="10"/>
        <v>0</v>
      </c>
      <c r="AE31" s="492">
        <f t="shared" si="10"/>
        <v>0</v>
      </c>
      <c r="AF31" s="492">
        <f t="shared" si="10"/>
        <v>0</v>
      </c>
      <c r="AG31" s="492">
        <f t="shared" si="10"/>
        <v>0</v>
      </c>
      <c r="AH31" s="493">
        <f t="shared" si="8"/>
        <v>0</v>
      </c>
    </row>
    <row r="32" spans="1:35" s="44" customFormat="1" ht="11.25">
      <c r="A32" s="26"/>
      <c r="B32" s="7"/>
      <c r="C32" s="5"/>
      <c r="D32" s="5"/>
      <c r="E32" s="5"/>
      <c r="F32" s="5"/>
      <c r="G32" s="5"/>
      <c r="H32" s="5"/>
      <c r="I32" s="5"/>
      <c r="J32" s="5"/>
      <c r="K32" s="5"/>
      <c r="AA32" s="5"/>
      <c r="AB32" s="5"/>
      <c r="AC32" s="5"/>
      <c r="AD32" s="5"/>
      <c r="AE32" s="5"/>
      <c r="AF32" s="5"/>
      <c r="AG32" s="5"/>
      <c r="AH32" s="5"/>
      <c r="AI32" s="5"/>
    </row>
    <row r="33" ht="11.25">
      <c r="A33" s="26"/>
    </row>
    <row r="34" ht="11.25">
      <c r="A34" s="5" t="s">
        <v>192</v>
      </c>
    </row>
    <row r="35" ht="11.25">
      <c r="A35" s="5" t="s">
        <v>193</v>
      </c>
    </row>
  </sheetData>
  <sheetProtection password="EA98" sheet="1" formatColumns="0" selectLockedCells="1"/>
  <mergeCells count="3">
    <mergeCell ref="G2:J2"/>
    <mergeCell ref="A1:H1"/>
    <mergeCell ref="AE2:AH2"/>
  </mergeCells>
  <conditionalFormatting sqref="A6:J30">
    <cfRule type="expression" priority="2" dxfId="3" stopIfTrue="1">
      <formula>$K6&gt;0</formula>
    </cfRule>
  </conditionalFormatting>
  <conditionalFormatting sqref="AA6:AH30">
    <cfRule type="expression" priority="1" dxfId="3" stopIfTrue="1">
      <formula>$K6&gt;0</formula>
    </cfRule>
  </conditionalFormatting>
  <dataValidations count="2">
    <dataValidation type="whole" allowBlank="1" showInputMessage="1" showErrorMessage="1" errorTitle="ERRORE NEL DATO IMMESSO" error="INSERIRE SOLO NUMERI INTERI" sqref="AB6:AG30">
      <formula1>1</formula1>
      <formula2>999999999999</formula2>
    </dataValidation>
    <dataValidation type="decimal" allowBlank="1" showInputMessage="1" showErrorMessage="1" sqref="C6:C30 AA6:AA30">
      <formula1>0</formula1>
      <formula2>99999999</formula2>
    </dataValidation>
  </dataValidations>
  <printOptions horizontalCentered="1" verticalCentered="1"/>
  <pageMargins left="0" right="0" top="0.1968503937007874" bottom="0.15748031496062992" header="0.1968503937007874" footer="0.15748031496062992"/>
  <pageSetup horizontalDpi="300" verticalDpi="3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0"/>
  <dimension ref="A1:BE37"/>
  <sheetViews>
    <sheetView showGridLines="0" zoomScalePageLayoutView="0" workbookViewId="0" topLeftCell="A1">
      <pane xSplit="2" ySplit="5" topLeftCell="AR18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H26" sqref="AH26"/>
    </sheetView>
  </sheetViews>
  <sheetFormatPr defaultColWidth="9.33203125" defaultRowHeight="10.5"/>
  <cols>
    <col min="1" max="1" width="57.83203125" style="5" customWidth="1"/>
    <col min="2" max="2" width="8.66015625" style="7" customWidth="1"/>
    <col min="3" max="16" width="11.5" style="5" hidden="1" customWidth="1"/>
    <col min="17" max="18" width="16.66015625" style="5" hidden="1" customWidth="1"/>
    <col min="19" max="22" width="11.5" style="5" hidden="1" customWidth="1"/>
    <col min="23" max="33" width="9.33203125" style="5" hidden="1" customWidth="1"/>
    <col min="34" max="47" width="11.5" style="5" customWidth="1"/>
    <col min="48" max="48" width="16.66015625" style="5" bestFit="1" customWidth="1"/>
    <col min="49" max="49" width="16.66015625" style="5" customWidth="1"/>
    <col min="50" max="53" width="11.5" style="5" customWidth="1"/>
    <col min="54" max="54" width="0" style="5" hidden="1" customWidth="1"/>
    <col min="55" max="16384" width="9.33203125" style="5" customWidth="1"/>
  </cols>
  <sheetData>
    <row r="1" spans="1:53" ht="36" customHeight="1">
      <c r="A1" s="1155" t="str">
        <f>'t1'!A1</f>
        <v>COMPARTO AFAM - anno 2016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  <c r="P1" s="1155"/>
      <c r="Q1" s="1155"/>
      <c r="R1" s="1155"/>
      <c r="S1" s="1155"/>
      <c r="T1" s="1155"/>
      <c r="U1" s="1155"/>
      <c r="V1" s="320"/>
      <c r="BA1" s="320"/>
    </row>
    <row r="2" spans="1:53" ht="27" customHeight="1" thickBot="1">
      <c r="A2" s="6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501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501"/>
    </row>
    <row r="3" spans="1:53" ht="13.5" thickBot="1">
      <c r="A3" s="12"/>
      <c r="B3" s="13"/>
      <c r="C3" s="321" t="s">
        <v>267</v>
      </c>
      <c r="D3" s="17"/>
      <c r="E3" s="17"/>
      <c r="F3" s="17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4"/>
      <c r="AH3" s="321" t="s">
        <v>267</v>
      </c>
      <c r="AI3" s="17"/>
      <c r="AJ3" s="17"/>
      <c r="AK3" s="17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104"/>
    </row>
    <row r="4" spans="1:53" ht="48" customHeight="1" thickTop="1">
      <c r="A4" s="912" t="s">
        <v>152</v>
      </c>
      <c r="B4" s="297" t="s">
        <v>78</v>
      </c>
      <c r="C4" s="504" t="s">
        <v>507</v>
      </c>
      <c r="D4" s="504" t="s">
        <v>508</v>
      </c>
      <c r="E4" s="504" t="s">
        <v>509</v>
      </c>
      <c r="F4" s="504" t="s">
        <v>510</v>
      </c>
      <c r="G4" s="504" t="s">
        <v>511</v>
      </c>
      <c r="H4" s="504" t="s">
        <v>512</v>
      </c>
      <c r="I4" s="504" t="s">
        <v>513</v>
      </c>
      <c r="J4" s="985" t="s">
        <v>710</v>
      </c>
      <c r="K4" s="504" t="s">
        <v>572</v>
      </c>
      <c r="L4" s="505" t="s">
        <v>521</v>
      </c>
      <c r="M4" s="505" t="s">
        <v>522</v>
      </c>
      <c r="N4" s="505" t="s">
        <v>523</v>
      </c>
      <c r="O4" s="505" t="s">
        <v>524</v>
      </c>
      <c r="P4" s="505" t="s">
        <v>525</v>
      </c>
      <c r="Q4" s="505" t="s">
        <v>573</v>
      </c>
      <c r="R4" s="862" t="s">
        <v>688</v>
      </c>
      <c r="S4" s="684" t="s">
        <v>315</v>
      </c>
      <c r="T4" s="506" t="s">
        <v>373</v>
      </c>
      <c r="U4" s="685" t="s">
        <v>316</v>
      </c>
      <c r="V4" s="118" t="s">
        <v>163</v>
      </c>
      <c r="AH4" s="504" t="s">
        <v>507</v>
      </c>
      <c r="AI4" s="504" t="s">
        <v>508</v>
      </c>
      <c r="AJ4" s="504" t="s">
        <v>509</v>
      </c>
      <c r="AK4" s="504" t="s">
        <v>510</v>
      </c>
      <c r="AL4" s="504" t="s">
        <v>511</v>
      </c>
      <c r="AM4" s="504" t="s">
        <v>512</v>
      </c>
      <c r="AN4" s="504" t="s">
        <v>513</v>
      </c>
      <c r="AO4" s="985" t="s">
        <v>710</v>
      </c>
      <c r="AP4" s="504" t="s">
        <v>572</v>
      </c>
      <c r="AQ4" s="505" t="s">
        <v>521</v>
      </c>
      <c r="AR4" s="505" t="s">
        <v>522</v>
      </c>
      <c r="AS4" s="505" t="s">
        <v>523</v>
      </c>
      <c r="AT4" s="505" t="s">
        <v>524</v>
      </c>
      <c r="AU4" s="505" t="s">
        <v>525</v>
      </c>
      <c r="AV4" s="505" t="s">
        <v>573</v>
      </c>
      <c r="AW4" s="862" t="s">
        <v>688</v>
      </c>
      <c r="AX4" s="684" t="s">
        <v>315</v>
      </c>
      <c r="AY4" s="506" t="s">
        <v>373</v>
      </c>
      <c r="AZ4" s="685" t="s">
        <v>316</v>
      </c>
      <c r="BA4" s="118" t="s">
        <v>163</v>
      </c>
    </row>
    <row r="5" spans="1:53" ht="14.25" customHeight="1" thickBot="1">
      <c r="A5" s="911" t="s">
        <v>687</v>
      </c>
      <c r="B5" s="119"/>
      <c r="C5" s="507" t="s">
        <v>514</v>
      </c>
      <c r="D5" s="507" t="s">
        <v>515</v>
      </c>
      <c r="E5" s="507" t="s">
        <v>516</v>
      </c>
      <c r="F5" s="507" t="s">
        <v>517</v>
      </c>
      <c r="G5" s="507" t="s">
        <v>518</v>
      </c>
      <c r="H5" s="507" t="s">
        <v>519</v>
      </c>
      <c r="I5" s="507" t="s">
        <v>520</v>
      </c>
      <c r="J5" s="507" t="s">
        <v>711</v>
      </c>
      <c r="K5" s="507" t="s">
        <v>574</v>
      </c>
      <c r="L5" s="508" t="s">
        <v>526</v>
      </c>
      <c r="M5" s="508" t="s">
        <v>527</v>
      </c>
      <c r="N5" s="508" t="s">
        <v>528</v>
      </c>
      <c r="O5" s="508" t="s">
        <v>529</v>
      </c>
      <c r="P5" s="508" t="s">
        <v>530</v>
      </c>
      <c r="Q5" s="508" t="s">
        <v>575</v>
      </c>
      <c r="R5" s="508" t="s">
        <v>670</v>
      </c>
      <c r="S5" s="508" t="s">
        <v>291</v>
      </c>
      <c r="T5" s="508" t="s">
        <v>292</v>
      </c>
      <c r="U5" s="508" t="s">
        <v>293</v>
      </c>
      <c r="V5" s="120" t="s">
        <v>116</v>
      </c>
      <c r="AH5" s="507" t="s">
        <v>514</v>
      </c>
      <c r="AI5" s="507" t="s">
        <v>515</v>
      </c>
      <c r="AJ5" s="507" t="s">
        <v>516</v>
      </c>
      <c r="AK5" s="507" t="s">
        <v>517</v>
      </c>
      <c r="AL5" s="507" t="s">
        <v>518</v>
      </c>
      <c r="AM5" s="507" t="s">
        <v>519</v>
      </c>
      <c r="AN5" s="507" t="s">
        <v>520</v>
      </c>
      <c r="AO5" s="507" t="s">
        <v>711</v>
      </c>
      <c r="AP5" s="507" t="s">
        <v>574</v>
      </c>
      <c r="AQ5" s="508" t="s">
        <v>526</v>
      </c>
      <c r="AR5" s="508" t="s">
        <v>527</v>
      </c>
      <c r="AS5" s="508" t="s">
        <v>528</v>
      </c>
      <c r="AT5" s="508" t="s">
        <v>529</v>
      </c>
      <c r="AU5" s="508" t="s">
        <v>530</v>
      </c>
      <c r="AV5" s="508" t="s">
        <v>575</v>
      </c>
      <c r="AW5" s="508" t="s">
        <v>670</v>
      </c>
      <c r="AX5" s="508" t="s">
        <v>291</v>
      </c>
      <c r="AY5" s="508" t="s">
        <v>292</v>
      </c>
      <c r="AZ5" s="508" t="s">
        <v>293</v>
      </c>
      <c r="BA5" s="120" t="s">
        <v>116</v>
      </c>
    </row>
    <row r="6" spans="1:54" ht="12.75" customHeight="1" thickTop="1">
      <c r="A6" s="25" t="str">
        <f>'t1'!A6</f>
        <v>DIRIGENTE SCOLASTICO</v>
      </c>
      <c r="B6" s="236" t="str">
        <f>'t1'!B6</f>
        <v>0D0158</v>
      </c>
      <c r="C6" s="950">
        <f>ROUND(AH6,0)</f>
        <v>0</v>
      </c>
      <c r="D6" s="950">
        <f aca="true" t="shared" si="0" ref="D6:D30">ROUND(AI6,0)</f>
        <v>0</v>
      </c>
      <c r="E6" s="950">
        <f aca="true" t="shared" si="1" ref="E6:E30">ROUND(AJ6,0)</f>
        <v>0</v>
      </c>
      <c r="F6" s="950">
        <f aca="true" t="shared" si="2" ref="F6:F30">ROUND(AK6,0)</f>
        <v>0</v>
      </c>
      <c r="G6" s="951">
        <f aca="true" t="shared" si="3" ref="G6:G30">ROUND(AL6,0)</f>
        <v>0</v>
      </c>
      <c r="H6" s="951">
        <f aca="true" t="shared" si="4" ref="H6:H30">ROUND(AM6,0)</f>
        <v>0</v>
      </c>
      <c r="I6" s="951">
        <f aca="true" t="shared" si="5" ref="I6:J30">ROUND(AN6,0)</f>
        <v>0</v>
      </c>
      <c r="J6" s="951">
        <f t="shared" si="5"/>
        <v>0</v>
      </c>
      <c r="K6" s="951">
        <f aca="true" t="shared" si="6" ref="K6:K30">ROUND(AP6,0)</f>
        <v>0</v>
      </c>
      <c r="L6" s="951">
        <f aca="true" t="shared" si="7" ref="L6:L30">ROUND(AQ6,0)</f>
        <v>0</v>
      </c>
      <c r="M6" s="951">
        <f aca="true" t="shared" si="8" ref="M6:M30">ROUND(AR6,0)</f>
        <v>0</v>
      </c>
      <c r="N6" s="951">
        <f aca="true" t="shared" si="9" ref="N6:N30">ROUND(AS6,0)</f>
        <v>0</v>
      </c>
      <c r="O6" s="951">
        <f aca="true" t="shared" si="10" ref="O6:O30">ROUND(AT6,0)</f>
        <v>0</v>
      </c>
      <c r="P6" s="951">
        <f aca="true" t="shared" si="11" ref="P6:P30">ROUND(AU6,0)</f>
        <v>0</v>
      </c>
      <c r="Q6" s="951">
        <f aca="true" t="shared" si="12" ref="Q6:Q30">ROUND(AV6,0)</f>
        <v>0</v>
      </c>
      <c r="R6" s="951">
        <f aca="true" t="shared" si="13" ref="R6:R30">ROUND(AW6,0)</f>
        <v>0</v>
      </c>
      <c r="S6" s="951">
        <f aca="true" t="shared" si="14" ref="S6:S30">ROUND(AX6,0)</f>
        <v>0</v>
      </c>
      <c r="T6" s="951">
        <f aca="true" t="shared" si="15" ref="T6:T30">ROUND(AY6,0)</f>
        <v>0</v>
      </c>
      <c r="U6" s="951">
        <f aca="true" t="shared" si="16" ref="U6:U30">ROUND(AZ6,0)</f>
        <v>0</v>
      </c>
      <c r="V6" s="496">
        <f aca="true" t="shared" si="17" ref="V6:V30">SUM(C6:U6)</f>
        <v>0</v>
      </c>
      <c r="W6" s="5">
        <f>'t1'!N6</f>
        <v>0</v>
      </c>
      <c r="AH6" s="214"/>
      <c r="AI6" s="214"/>
      <c r="AJ6" s="214"/>
      <c r="AK6" s="214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496">
        <f aca="true" t="shared" si="18" ref="BA6:BA30">SUM(AH6:AZ6)</f>
        <v>0</v>
      </c>
      <c r="BB6" s="5">
        <f>'t1'!AR6</f>
        <v>0</v>
      </c>
    </row>
    <row r="7" spans="1:54" ht="12.75" customHeight="1">
      <c r="A7" s="155" t="str">
        <f>'t1'!A7</f>
        <v>PROFESSORI DI PRIMA FASCIA</v>
      </c>
      <c r="B7" s="229" t="str">
        <f>'t1'!B7</f>
        <v>018P01</v>
      </c>
      <c r="C7" s="950">
        <f aca="true" t="shared" si="19" ref="C7:C30">ROUND(AH7,0)</f>
        <v>0</v>
      </c>
      <c r="D7" s="950">
        <f t="shared" si="0"/>
        <v>0</v>
      </c>
      <c r="E7" s="950">
        <f t="shared" si="1"/>
        <v>0</v>
      </c>
      <c r="F7" s="950">
        <f t="shared" si="2"/>
        <v>0</v>
      </c>
      <c r="G7" s="951">
        <f t="shared" si="3"/>
        <v>0</v>
      </c>
      <c r="H7" s="951">
        <f t="shared" si="4"/>
        <v>0</v>
      </c>
      <c r="I7" s="951">
        <f t="shared" si="5"/>
        <v>0</v>
      </c>
      <c r="J7" s="951">
        <f t="shared" si="5"/>
        <v>0</v>
      </c>
      <c r="K7" s="951">
        <f t="shared" si="6"/>
        <v>0</v>
      </c>
      <c r="L7" s="951">
        <f t="shared" si="7"/>
        <v>0</v>
      </c>
      <c r="M7" s="951">
        <f t="shared" si="8"/>
        <v>1415</v>
      </c>
      <c r="N7" s="951">
        <f t="shared" si="9"/>
        <v>0</v>
      </c>
      <c r="O7" s="951">
        <f t="shared" si="10"/>
        <v>0</v>
      </c>
      <c r="P7" s="951">
        <f t="shared" si="11"/>
        <v>0</v>
      </c>
      <c r="Q7" s="951">
        <f t="shared" si="12"/>
        <v>0</v>
      </c>
      <c r="R7" s="951">
        <f t="shared" si="13"/>
        <v>0</v>
      </c>
      <c r="S7" s="951">
        <f t="shared" si="14"/>
        <v>0</v>
      </c>
      <c r="T7" s="951">
        <f t="shared" si="15"/>
        <v>0</v>
      </c>
      <c r="U7" s="951">
        <f t="shared" si="16"/>
        <v>0</v>
      </c>
      <c r="V7" s="496">
        <f t="shared" si="17"/>
        <v>1415</v>
      </c>
      <c r="W7" s="5">
        <f>'t1'!N7</f>
        <v>9</v>
      </c>
      <c r="AH7" s="214"/>
      <c r="AI7" s="214"/>
      <c r="AJ7" s="214"/>
      <c r="AK7" s="214"/>
      <c r="AL7" s="215"/>
      <c r="AM7" s="215"/>
      <c r="AN7" s="215"/>
      <c r="AO7" s="215"/>
      <c r="AP7" s="215"/>
      <c r="AQ7" s="215"/>
      <c r="AR7" s="215">
        <v>1415</v>
      </c>
      <c r="AS7" s="215"/>
      <c r="AT7" s="215"/>
      <c r="AU7" s="215"/>
      <c r="AV7" s="215"/>
      <c r="AW7" s="215"/>
      <c r="AX7" s="215"/>
      <c r="AY7" s="215"/>
      <c r="AZ7" s="215"/>
      <c r="BA7" s="496">
        <f t="shared" si="18"/>
        <v>1415</v>
      </c>
      <c r="BB7" s="5">
        <f>'t1'!AR7</f>
        <v>0</v>
      </c>
    </row>
    <row r="8" spans="1:54" ht="12.75" customHeight="1">
      <c r="A8" s="155" t="str">
        <f>'t1'!A8</f>
        <v>PROFESSORI DI SECONDA FASCIA</v>
      </c>
      <c r="B8" s="229" t="str">
        <f>'t1'!B8</f>
        <v>016P02</v>
      </c>
      <c r="C8" s="950">
        <f t="shared" si="19"/>
        <v>0</v>
      </c>
      <c r="D8" s="950">
        <f t="shared" si="0"/>
        <v>0</v>
      </c>
      <c r="E8" s="950">
        <f t="shared" si="1"/>
        <v>0</v>
      </c>
      <c r="F8" s="950">
        <f t="shared" si="2"/>
        <v>0</v>
      </c>
      <c r="G8" s="951">
        <f t="shared" si="3"/>
        <v>0</v>
      </c>
      <c r="H8" s="951">
        <f t="shared" si="4"/>
        <v>0</v>
      </c>
      <c r="I8" s="951">
        <f t="shared" si="5"/>
        <v>0</v>
      </c>
      <c r="J8" s="951">
        <f t="shared" si="5"/>
        <v>0</v>
      </c>
      <c r="K8" s="951">
        <f t="shared" si="6"/>
        <v>0</v>
      </c>
      <c r="L8" s="951">
        <f t="shared" si="7"/>
        <v>0</v>
      </c>
      <c r="M8" s="951">
        <f t="shared" si="8"/>
        <v>1955</v>
      </c>
      <c r="N8" s="951">
        <f t="shared" si="9"/>
        <v>0</v>
      </c>
      <c r="O8" s="951">
        <f t="shared" si="10"/>
        <v>14040</v>
      </c>
      <c r="P8" s="951">
        <f t="shared" si="11"/>
        <v>0</v>
      </c>
      <c r="Q8" s="951">
        <f t="shared" si="12"/>
        <v>0</v>
      </c>
      <c r="R8" s="951">
        <f t="shared" si="13"/>
        <v>0</v>
      </c>
      <c r="S8" s="951">
        <f t="shared" si="14"/>
        <v>0</v>
      </c>
      <c r="T8" s="951">
        <f t="shared" si="15"/>
        <v>0</v>
      </c>
      <c r="U8" s="951">
        <f t="shared" si="16"/>
        <v>0</v>
      </c>
      <c r="V8" s="496">
        <f t="shared" si="17"/>
        <v>15995</v>
      </c>
      <c r="W8" s="5">
        <f>'t1'!N8</f>
        <v>7</v>
      </c>
      <c r="AH8" s="214"/>
      <c r="AI8" s="214"/>
      <c r="AJ8" s="214"/>
      <c r="AK8" s="214"/>
      <c r="AL8" s="215"/>
      <c r="AM8" s="215"/>
      <c r="AN8" s="215"/>
      <c r="AO8" s="215"/>
      <c r="AP8" s="215"/>
      <c r="AQ8" s="215"/>
      <c r="AR8" s="215">
        <v>1955</v>
      </c>
      <c r="AS8" s="215"/>
      <c r="AT8" s="215">
        <v>14040</v>
      </c>
      <c r="AU8" s="215"/>
      <c r="AV8" s="215"/>
      <c r="AW8" s="215"/>
      <c r="AX8" s="215"/>
      <c r="AY8" s="215"/>
      <c r="AZ8" s="215"/>
      <c r="BA8" s="496">
        <f t="shared" si="18"/>
        <v>15995</v>
      </c>
      <c r="BB8" s="5">
        <f>'t1'!AR8</f>
        <v>0</v>
      </c>
    </row>
    <row r="9" spans="1:54" ht="12.75" customHeight="1">
      <c r="A9" s="155" t="str">
        <f>'t1'!A9</f>
        <v>DIRETTORE AMMINISTRATIVO EP2</v>
      </c>
      <c r="B9" s="229" t="str">
        <f>'t1'!B9</f>
        <v>013504</v>
      </c>
      <c r="C9" s="950">
        <f t="shared" si="19"/>
        <v>0</v>
      </c>
      <c r="D9" s="950">
        <f t="shared" si="0"/>
        <v>0</v>
      </c>
      <c r="E9" s="950">
        <f t="shared" si="1"/>
        <v>0</v>
      </c>
      <c r="F9" s="950">
        <f t="shared" si="2"/>
        <v>0</v>
      </c>
      <c r="G9" s="951">
        <f t="shared" si="3"/>
        <v>0</v>
      </c>
      <c r="H9" s="951">
        <f t="shared" si="4"/>
        <v>0</v>
      </c>
      <c r="I9" s="951">
        <f t="shared" si="5"/>
        <v>0</v>
      </c>
      <c r="J9" s="951">
        <f t="shared" si="5"/>
        <v>0</v>
      </c>
      <c r="K9" s="951">
        <f t="shared" si="6"/>
        <v>0</v>
      </c>
      <c r="L9" s="951">
        <f t="shared" si="7"/>
        <v>0</v>
      </c>
      <c r="M9" s="951">
        <f t="shared" si="8"/>
        <v>0</v>
      </c>
      <c r="N9" s="951">
        <f t="shared" si="9"/>
        <v>0</v>
      </c>
      <c r="O9" s="951">
        <f t="shared" si="10"/>
        <v>0</v>
      </c>
      <c r="P9" s="951">
        <f t="shared" si="11"/>
        <v>0</v>
      </c>
      <c r="Q9" s="951">
        <f t="shared" si="12"/>
        <v>0</v>
      </c>
      <c r="R9" s="951">
        <f t="shared" si="13"/>
        <v>0</v>
      </c>
      <c r="S9" s="951">
        <f t="shared" si="14"/>
        <v>0</v>
      </c>
      <c r="T9" s="951">
        <f t="shared" si="15"/>
        <v>0</v>
      </c>
      <c r="U9" s="951">
        <f t="shared" si="16"/>
        <v>0</v>
      </c>
      <c r="V9" s="496">
        <f t="shared" si="17"/>
        <v>0</v>
      </c>
      <c r="W9" s="5">
        <f>'t1'!N9</f>
        <v>1</v>
      </c>
      <c r="AH9" s="214"/>
      <c r="AI9" s="214"/>
      <c r="AJ9" s="214"/>
      <c r="AK9" s="214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496">
        <f t="shared" si="18"/>
        <v>0</v>
      </c>
      <c r="BB9" s="5">
        <f>'t1'!AR9</f>
        <v>0</v>
      </c>
    </row>
    <row r="10" spans="1:54" ht="12.75" customHeight="1">
      <c r="A10" s="155" t="str">
        <f>'t1'!A10</f>
        <v>DIRETTORE DELL UFFICIO DI RAGIONERIA (EP1)</v>
      </c>
      <c r="B10" s="229" t="str">
        <f>'t1'!B10</f>
        <v>013159</v>
      </c>
      <c r="C10" s="950">
        <f t="shared" si="19"/>
        <v>0</v>
      </c>
      <c r="D10" s="950">
        <f t="shared" si="0"/>
        <v>0</v>
      </c>
      <c r="E10" s="950">
        <f t="shared" si="1"/>
        <v>0</v>
      </c>
      <c r="F10" s="950">
        <f t="shared" si="2"/>
        <v>0</v>
      </c>
      <c r="G10" s="951">
        <f t="shared" si="3"/>
        <v>0</v>
      </c>
      <c r="H10" s="951">
        <f t="shared" si="4"/>
        <v>0</v>
      </c>
      <c r="I10" s="951">
        <f t="shared" si="5"/>
        <v>0</v>
      </c>
      <c r="J10" s="951">
        <f t="shared" si="5"/>
        <v>0</v>
      </c>
      <c r="K10" s="951">
        <f t="shared" si="6"/>
        <v>0</v>
      </c>
      <c r="L10" s="951">
        <f t="shared" si="7"/>
        <v>0</v>
      </c>
      <c r="M10" s="951">
        <f t="shared" si="8"/>
        <v>0</v>
      </c>
      <c r="N10" s="951">
        <f t="shared" si="9"/>
        <v>0</v>
      </c>
      <c r="O10" s="951">
        <f t="shared" si="10"/>
        <v>0</v>
      </c>
      <c r="P10" s="951">
        <f t="shared" si="11"/>
        <v>0</v>
      </c>
      <c r="Q10" s="951">
        <f t="shared" si="12"/>
        <v>0</v>
      </c>
      <c r="R10" s="951">
        <f t="shared" si="13"/>
        <v>0</v>
      </c>
      <c r="S10" s="951">
        <f t="shared" si="14"/>
        <v>0</v>
      </c>
      <c r="T10" s="951">
        <f t="shared" si="15"/>
        <v>0</v>
      </c>
      <c r="U10" s="951">
        <f t="shared" si="16"/>
        <v>0</v>
      </c>
      <c r="V10" s="496">
        <f t="shared" si="17"/>
        <v>0</v>
      </c>
      <c r="W10" s="5">
        <f>'t1'!N10</f>
        <v>1</v>
      </c>
      <c r="AH10" s="214"/>
      <c r="AI10" s="214"/>
      <c r="AJ10" s="214"/>
      <c r="AK10" s="214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496">
        <f t="shared" si="18"/>
        <v>0</v>
      </c>
      <c r="BB10" s="5">
        <f>'t1'!AR10</f>
        <v>0</v>
      </c>
    </row>
    <row r="11" spans="1:54" ht="12.75" customHeight="1">
      <c r="A11" s="155" t="str">
        <f>'t1'!A11</f>
        <v>COORDINATORE DI BIBLIOTECA TECNICO E AMMINISTRATIVO(D)</v>
      </c>
      <c r="B11" s="229" t="str">
        <f>'t1'!B11</f>
        <v>013DTE</v>
      </c>
      <c r="C11" s="950">
        <f t="shared" si="19"/>
        <v>0</v>
      </c>
      <c r="D11" s="950">
        <f t="shared" si="0"/>
        <v>0</v>
      </c>
      <c r="E11" s="950">
        <f t="shared" si="1"/>
        <v>0</v>
      </c>
      <c r="F11" s="950">
        <f t="shared" si="2"/>
        <v>0</v>
      </c>
      <c r="G11" s="951">
        <f t="shared" si="3"/>
        <v>0</v>
      </c>
      <c r="H11" s="951">
        <f t="shared" si="4"/>
        <v>0</v>
      </c>
      <c r="I11" s="951">
        <f t="shared" si="5"/>
        <v>0</v>
      </c>
      <c r="J11" s="951">
        <f t="shared" si="5"/>
        <v>0</v>
      </c>
      <c r="K11" s="951">
        <f t="shared" si="6"/>
        <v>0</v>
      </c>
      <c r="L11" s="951">
        <f t="shared" si="7"/>
        <v>0</v>
      </c>
      <c r="M11" s="951">
        <f t="shared" si="8"/>
        <v>0</v>
      </c>
      <c r="N11" s="951">
        <f t="shared" si="9"/>
        <v>0</v>
      </c>
      <c r="O11" s="951">
        <f t="shared" si="10"/>
        <v>0</v>
      </c>
      <c r="P11" s="951">
        <f t="shared" si="11"/>
        <v>0</v>
      </c>
      <c r="Q11" s="951">
        <f t="shared" si="12"/>
        <v>0</v>
      </c>
      <c r="R11" s="951">
        <f t="shared" si="13"/>
        <v>0</v>
      </c>
      <c r="S11" s="951">
        <f t="shared" si="14"/>
        <v>0</v>
      </c>
      <c r="T11" s="951">
        <f t="shared" si="15"/>
        <v>0</v>
      </c>
      <c r="U11" s="951">
        <f t="shared" si="16"/>
        <v>0</v>
      </c>
      <c r="V11" s="496">
        <f t="shared" si="17"/>
        <v>0</v>
      </c>
      <c r="W11" s="5">
        <f>'t1'!N11</f>
        <v>0</v>
      </c>
      <c r="AH11" s="214"/>
      <c r="AI11" s="214"/>
      <c r="AJ11" s="214"/>
      <c r="AK11" s="214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496">
        <f t="shared" si="18"/>
        <v>0</v>
      </c>
      <c r="BB11" s="5">
        <f>'t1'!AR11</f>
        <v>0</v>
      </c>
    </row>
    <row r="12" spans="1:54" ht="12.75" customHeight="1">
      <c r="A12" s="155" t="str">
        <f>'t1'!A12</f>
        <v>COLLABORATORE TEC. AMMIN. DI BIBLIOT. E DI LAB. (C)</v>
      </c>
      <c r="B12" s="229" t="str">
        <f>'t1'!B12</f>
        <v>013CTE</v>
      </c>
      <c r="C12" s="950">
        <f t="shared" si="19"/>
        <v>0</v>
      </c>
      <c r="D12" s="950">
        <f t="shared" si="0"/>
        <v>0</v>
      </c>
      <c r="E12" s="950">
        <f t="shared" si="1"/>
        <v>0</v>
      </c>
      <c r="F12" s="950">
        <f t="shared" si="2"/>
        <v>0</v>
      </c>
      <c r="G12" s="951">
        <f t="shared" si="3"/>
        <v>0</v>
      </c>
      <c r="H12" s="951">
        <f t="shared" si="4"/>
        <v>0</v>
      </c>
      <c r="I12" s="951">
        <f t="shared" si="5"/>
        <v>0</v>
      </c>
      <c r="J12" s="951">
        <f t="shared" si="5"/>
        <v>0</v>
      </c>
      <c r="K12" s="951">
        <f t="shared" si="6"/>
        <v>0</v>
      </c>
      <c r="L12" s="951">
        <f t="shared" si="7"/>
        <v>0</v>
      </c>
      <c r="M12" s="951">
        <f t="shared" si="8"/>
        <v>0</v>
      </c>
      <c r="N12" s="951">
        <f t="shared" si="9"/>
        <v>0</v>
      </c>
      <c r="O12" s="951">
        <f t="shared" si="10"/>
        <v>0</v>
      </c>
      <c r="P12" s="951">
        <f t="shared" si="11"/>
        <v>0</v>
      </c>
      <c r="Q12" s="951">
        <f t="shared" si="12"/>
        <v>0</v>
      </c>
      <c r="R12" s="951">
        <f t="shared" si="13"/>
        <v>0</v>
      </c>
      <c r="S12" s="951">
        <f t="shared" si="14"/>
        <v>0</v>
      </c>
      <c r="T12" s="951">
        <f t="shared" si="15"/>
        <v>0</v>
      </c>
      <c r="U12" s="951">
        <f t="shared" si="16"/>
        <v>0</v>
      </c>
      <c r="V12" s="496">
        <f t="shared" si="17"/>
        <v>0</v>
      </c>
      <c r="W12" s="5">
        <f>'t1'!N12</f>
        <v>0</v>
      </c>
      <c r="AH12" s="214"/>
      <c r="AI12" s="214"/>
      <c r="AJ12" s="214"/>
      <c r="AK12" s="214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496">
        <f t="shared" si="18"/>
        <v>0</v>
      </c>
      <c r="BB12" s="5">
        <f>'t1'!AR12</f>
        <v>0</v>
      </c>
    </row>
    <row r="13" spans="1:54" ht="12.75" customHeight="1">
      <c r="A13" s="155" t="str">
        <f>'t1'!A13</f>
        <v>ASSISTENTE AMMINISTRATIVO (B)</v>
      </c>
      <c r="B13" s="229" t="str">
        <f>'t1'!B13</f>
        <v>012117</v>
      </c>
      <c r="C13" s="950">
        <f t="shared" si="19"/>
        <v>0</v>
      </c>
      <c r="D13" s="950">
        <f t="shared" si="0"/>
        <v>0</v>
      </c>
      <c r="E13" s="950">
        <f t="shared" si="1"/>
        <v>0</v>
      </c>
      <c r="F13" s="950">
        <f t="shared" si="2"/>
        <v>0</v>
      </c>
      <c r="G13" s="951">
        <f t="shared" si="3"/>
        <v>0</v>
      </c>
      <c r="H13" s="951">
        <f t="shared" si="4"/>
        <v>0</v>
      </c>
      <c r="I13" s="951">
        <f t="shared" si="5"/>
        <v>0</v>
      </c>
      <c r="J13" s="951">
        <f t="shared" si="5"/>
        <v>0</v>
      </c>
      <c r="K13" s="951">
        <f t="shared" si="6"/>
        <v>0</v>
      </c>
      <c r="L13" s="951">
        <f t="shared" si="7"/>
        <v>0</v>
      </c>
      <c r="M13" s="951">
        <f t="shared" si="8"/>
        <v>0</v>
      </c>
      <c r="N13" s="951">
        <f t="shared" si="9"/>
        <v>0</v>
      </c>
      <c r="O13" s="951">
        <f t="shared" si="10"/>
        <v>0</v>
      </c>
      <c r="P13" s="951">
        <f t="shared" si="11"/>
        <v>0</v>
      </c>
      <c r="Q13" s="951">
        <f t="shared" si="12"/>
        <v>0</v>
      </c>
      <c r="R13" s="951">
        <f t="shared" si="13"/>
        <v>0</v>
      </c>
      <c r="S13" s="951">
        <f t="shared" si="14"/>
        <v>0</v>
      </c>
      <c r="T13" s="951">
        <f t="shared" si="15"/>
        <v>0</v>
      </c>
      <c r="U13" s="951">
        <f t="shared" si="16"/>
        <v>6094</v>
      </c>
      <c r="V13" s="496">
        <f t="shared" si="17"/>
        <v>6094</v>
      </c>
      <c r="W13" s="5">
        <f>'t1'!N13</f>
        <v>4</v>
      </c>
      <c r="AH13" s="214"/>
      <c r="AI13" s="214"/>
      <c r="AJ13" s="214"/>
      <c r="AK13" s="214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>
        <v>6094</v>
      </c>
      <c r="BA13" s="496">
        <f t="shared" si="18"/>
        <v>6094</v>
      </c>
      <c r="BB13" s="5">
        <f>'t1'!AR13</f>
        <v>0</v>
      </c>
    </row>
    <row r="14" spans="1:54" ht="12.75" customHeight="1">
      <c r="A14" s="155" t="str">
        <f>'t1'!A14</f>
        <v>COADIUTORE (A)</v>
      </c>
      <c r="B14" s="229" t="str">
        <f>'t1'!B14</f>
        <v>011121</v>
      </c>
      <c r="C14" s="950">
        <f t="shared" si="19"/>
        <v>0</v>
      </c>
      <c r="D14" s="950">
        <f t="shared" si="0"/>
        <v>0</v>
      </c>
      <c r="E14" s="950">
        <f t="shared" si="1"/>
        <v>0</v>
      </c>
      <c r="F14" s="950">
        <f t="shared" si="2"/>
        <v>0</v>
      </c>
      <c r="G14" s="951">
        <f t="shared" si="3"/>
        <v>0</v>
      </c>
      <c r="H14" s="951">
        <f t="shared" si="4"/>
        <v>0</v>
      </c>
      <c r="I14" s="951">
        <f t="shared" si="5"/>
        <v>0</v>
      </c>
      <c r="J14" s="951">
        <f t="shared" si="5"/>
        <v>0</v>
      </c>
      <c r="K14" s="951">
        <f t="shared" si="6"/>
        <v>0</v>
      </c>
      <c r="L14" s="951">
        <f t="shared" si="7"/>
        <v>0</v>
      </c>
      <c r="M14" s="951">
        <f t="shared" si="8"/>
        <v>0</v>
      </c>
      <c r="N14" s="951">
        <f t="shared" si="9"/>
        <v>0</v>
      </c>
      <c r="O14" s="951">
        <f t="shared" si="10"/>
        <v>0</v>
      </c>
      <c r="P14" s="951">
        <f t="shared" si="11"/>
        <v>0</v>
      </c>
      <c r="Q14" s="951">
        <f t="shared" si="12"/>
        <v>0</v>
      </c>
      <c r="R14" s="951">
        <f t="shared" si="13"/>
        <v>0</v>
      </c>
      <c r="S14" s="951">
        <f t="shared" si="14"/>
        <v>0</v>
      </c>
      <c r="T14" s="951">
        <f t="shared" si="15"/>
        <v>0</v>
      </c>
      <c r="U14" s="951">
        <f t="shared" si="16"/>
        <v>0</v>
      </c>
      <c r="V14" s="496">
        <f t="shared" si="17"/>
        <v>0</v>
      </c>
      <c r="W14" s="5">
        <f>'t1'!N14</f>
        <v>6</v>
      </c>
      <c r="AH14" s="214"/>
      <c r="AI14" s="214"/>
      <c r="AJ14" s="214"/>
      <c r="AK14" s="214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496">
        <f t="shared" si="18"/>
        <v>0</v>
      </c>
      <c r="BB14" s="5">
        <f>'t1'!AR14</f>
        <v>0</v>
      </c>
    </row>
    <row r="15" spans="1:54" ht="12.75" customHeight="1">
      <c r="A15" s="155" t="str">
        <f>'t1'!A15</f>
        <v>PROFESSORI DI PRIMA FASCIA TEMPO DET.ANNUALE</v>
      </c>
      <c r="B15" s="229" t="str">
        <f>'t1'!B15</f>
        <v>018PD1</v>
      </c>
      <c r="C15" s="950">
        <f t="shared" si="19"/>
        <v>0</v>
      </c>
      <c r="D15" s="950">
        <f t="shared" si="0"/>
        <v>6600</v>
      </c>
      <c r="E15" s="950">
        <f t="shared" si="1"/>
        <v>0</v>
      </c>
      <c r="F15" s="950">
        <f t="shared" si="2"/>
        <v>0</v>
      </c>
      <c r="G15" s="950">
        <f t="shared" si="3"/>
        <v>0</v>
      </c>
      <c r="H15" s="951">
        <f t="shared" si="4"/>
        <v>0</v>
      </c>
      <c r="I15" s="951">
        <f t="shared" si="5"/>
        <v>0</v>
      </c>
      <c r="J15" s="951">
        <f t="shared" si="5"/>
        <v>0</v>
      </c>
      <c r="K15" s="951">
        <f t="shared" si="6"/>
        <v>0</v>
      </c>
      <c r="L15" s="951">
        <f t="shared" si="7"/>
        <v>0</v>
      </c>
      <c r="M15" s="951">
        <f t="shared" si="8"/>
        <v>0</v>
      </c>
      <c r="N15" s="951">
        <f t="shared" si="9"/>
        <v>0</v>
      </c>
      <c r="O15" s="951">
        <f t="shared" si="10"/>
        <v>0</v>
      </c>
      <c r="P15" s="951">
        <f t="shared" si="11"/>
        <v>0</v>
      </c>
      <c r="Q15" s="951">
        <f t="shared" si="12"/>
        <v>0</v>
      </c>
      <c r="R15" s="951">
        <f t="shared" si="13"/>
        <v>0</v>
      </c>
      <c r="S15" s="951">
        <f t="shared" si="14"/>
        <v>0</v>
      </c>
      <c r="T15" s="951">
        <f t="shared" si="15"/>
        <v>0</v>
      </c>
      <c r="U15" s="951">
        <f t="shared" si="16"/>
        <v>0</v>
      </c>
      <c r="V15" s="496">
        <f t="shared" si="17"/>
        <v>6600</v>
      </c>
      <c r="W15" s="5">
        <f>'t1'!N15</f>
        <v>22</v>
      </c>
      <c r="AH15" s="214"/>
      <c r="AI15" s="214">
        <v>6600</v>
      </c>
      <c r="AJ15" s="214"/>
      <c r="AK15" s="214"/>
      <c r="AL15" s="214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496">
        <f t="shared" si="18"/>
        <v>6600</v>
      </c>
      <c r="BB15" s="5">
        <f>'t1'!AR15</f>
        <v>0</v>
      </c>
    </row>
    <row r="16" spans="1:54" ht="12.75" customHeight="1">
      <c r="A16" s="155" t="str">
        <f>'t1'!A16</f>
        <v>PROFESSORI DI SECONDA FASCIA TEMPO DET.ANNUALE</v>
      </c>
      <c r="B16" s="229" t="str">
        <f>'t1'!B16</f>
        <v>016PD2</v>
      </c>
      <c r="C16" s="950">
        <f t="shared" si="19"/>
        <v>0</v>
      </c>
      <c r="D16" s="950">
        <f t="shared" si="0"/>
        <v>1100</v>
      </c>
      <c r="E16" s="950">
        <f t="shared" si="1"/>
        <v>0</v>
      </c>
      <c r="F16" s="950">
        <f t="shared" si="2"/>
        <v>0</v>
      </c>
      <c r="G16" s="950">
        <f t="shared" si="3"/>
        <v>0</v>
      </c>
      <c r="H16" s="951">
        <f t="shared" si="4"/>
        <v>0</v>
      </c>
      <c r="I16" s="951">
        <f t="shared" si="5"/>
        <v>0</v>
      </c>
      <c r="J16" s="951">
        <f t="shared" si="5"/>
        <v>0</v>
      </c>
      <c r="K16" s="951">
        <f t="shared" si="6"/>
        <v>0</v>
      </c>
      <c r="L16" s="951">
        <f t="shared" si="7"/>
        <v>0</v>
      </c>
      <c r="M16" s="951">
        <f t="shared" si="8"/>
        <v>0</v>
      </c>
      <c r="N16" s="951">
        <f t="shared" si="9"/>
        <v>0</v>
      </c>
      <c r="O16" s="951">
        <f t="shared" si="10"/>
        <v>0</v>
      </c>
      <c r="P16" s="951">
        <f t="shared" si="11"/>
        <v>0</v>
      </c>
      <c r="Q16" s="951">
        <f t="shared" si="12"/>
        <v>0</v>
      </c>
      <c r="R16" s="951">
        <f t="shared" si="13"/>
        <v>0</v>
      </c>
      <c r="S16" s="951">
        <f t="shared" si="14"/>
        <v>0</v>
      </c>
      <c r="T16" s="951">
        <f t="shared" si="15"/>
        <v>0</v>
      </c>
      <c r="U16" s="951">
        <f t="shared" si="16"/>
        <v>0</v>
      </c>
      <c r="V16" s="496">
        <f t="shared" si="17"/>
        <v>1100</v>
      </c>
      <c r="W16" s="5">
        <f>'t1'!N16</f>
        <v>6</v>
      </c>
      <c r="AH16" s="214"/>
      <c r="AI16" s="214">
        <v>1100</v>
      </c>
      <c r="AJ16" s="214"/>
      <c r="AK16" s="214"/>
      <c r="AL16" s="214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496">
        <f t="shared" si="18"/>
        <v>1100</v>
      </c>
      <c r="BB16" s="5">
        <f>'t1'!AR16</f>
        <v>0</v>
      </c>
    </row>
    <row r="17" spans="1:54" ht="12.75" customHeight="1">
      <c r="A17" s="155" t="str">
        <f>'t1'!A17</f>
        <v>PROFESSORI DI PRIMA FASCIA T. DET. TERMINE ATTIV DIDATT</v>
      </c>
      <c r="B17" s="229" t="str">
        <f>'t1'!B17</f>
        <v>018DD1</v>
      </c>
      <c r="C17" s="950">
        <f t="shared" si="19"/>
        <v>0</v>
      </c>
      <c r="D17" s="950">
        <f t="shared" si="0"/>
        <v>0</v>
      </c>
      <c r="E17" s="950">
        <f t="shared" si="1"/>
        <v>0</v>
      </c>
      <c r="F17" s="950">
        <f t="shared" si="2"/>
        <v>0</v>
      </c>
      <c r="G17" s="950">
        <f t="shared" si="3"/>
        <v>0</v>
      </c>
      <c r="H17" s="951">
        <f t="shared" si="4"/>
        <v>0</v>
      </c>
      <c r="I17" s="951">
        <f t="shared" si="5"/>
        <v>0</v>
      </c>
      <c r="J17" s="951">
        <f t="shared" si="5"/>
        <v>0</v>
      </c>
      <c r="K17" s="951">
        <f t="shared" si="6"/>
        <v>0</v>
      </c>
      <c r="L17" s="951">
        <f t="shared" si="7"/>
        <v>0</v>
      </c>
      <c r="M17" s="951">
        <f t="shared" si="8"/>
        <v>0</v>
      </c>
      <c r="N17" s="951">
        <f t="shared" si="9"/>
        <v>0</v>
      </c>
      <c r="O17" s="951">
        <f t="shared" si="10"/>
        <v>0</v>
      </c>
      <c r="P17" s="951">
        <f t="shared" si="11"/>
        <v>0</v>
      </c>
      <c r="Q17" s="951">
        <f t="shared" si="12"/>
        <v>0</v>
      </c>
      <c r="R17" s="951">
        <f t="shared" si="13"/>
        <v>0</v>
      </c>
      <c r="S17" s="951">
        <f t="shared" si="14"/>
        <v>0</v>
      </c>
      <c r="T17" s="951">
        <f t="shared" si="15"/>
        <v>0</v>
      </c>
      <c r="U17" s="951">
        <f t="shared" si="16"/>
        <v>0</v>
      </c>
      <c r="V17" s="496">
        <f t="shared" si="17"/>
        <v>0</v>
      </c>
      <c r="W17" s="5">
        <f>'t1'!N17</f>
        <v>0</v>
      </c>
      <c r="AH17" s="214"/>
      <c r="AI17" s="214"/>
      <c r="AJ17" s="214"/>
      <c r="AK17" s="214"/>
      <c r="AL17" s="214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496">
        <f t="shared" si="18"/>
        <v>0</v>
      </c>
      <c r="BB17" s="5">
        <f>'t1'!AR17</f>
        <v>0</v>
      </c>
    </row>
    <row r="18" spans="1:54" ht="12.75" customHeight="1">
      <c r="A18" s="155" t="str">
        <f>'t1'!A18</f>
        <v>PROFESSORI DI SECONDA FASCIA T. DET. TERMINE ATTIV DIDATT</v>
      </c>
      <c r="B18" s="229" t="str">
        <f>'t1'!B18</f>
        <v>016DD2</v>
      </c>
      <c r="C18" s="950">
        <f t="shared" si="19"/>
        <v>0</v>
      </c>
      <c r="D18" s="950">
        <f t="shared" si="0"/>
        <v>0</v>
      </c>
      <c r="E18" s="950">
        <f t="shared" si="1"/>
        <v>0</v>
      </c>
      <c r="F18" s="950">
        <f t="shared" si="2"/>
        <v>0</v>
      </c>
      <c r="G18" s="950">
        <f t="shared" si="3"/>
        <v>0</v>
      </c>
      <c r="H18" s="951">
        <f t="shared" si="4"/>
        <v>0</v>
      </c>
      <c r="I18" s="951">
        <f t="shared" si="5"/>
        <v>0</v>
      </c>
      <c r="J18" s="951">
        <f t="shared" si="5"/>
        <v>0</v>
      </c>
      <c r="K18" s="951">
        <f t="shared" si="6"/>
        <v>0</v>
      </c>
      <c r="L18" s="951">
        <f t="shared" si="7"/>
        <v>0</v>
      </c>
      <c r="M18" s="951">
        <f t="shared" si="8"/>
        <v>0</v>
      </c>
      <c r="N18" s="951">
        <f t="shared" si="9"/>
        <v>0</v>
      </c>
      <c r="O18" s="951">
        <f t="shared" si="10"/>
        <v>0</v>
      </c>
      <c r="P18" s="951">
        <f t="shared" si="11"/>
        <v>0</v>
      </c>
      <c r="Q18" s="951">
        <f t="shared" si="12"/>
        <v>0</v>
      </c>
      <c r="R18" s="951">
        <f t="shared" si="13"/>
        <v>0</v>
      </c>
      <c r="S18" s="951">
        <f t="shared" si="14"/>
        <v>0</v>
      </c>
      <c r="T18" s="951">
        <f t="shared" si="15"/>
        <v>0</v>
      </c>
      <c r="U18" s="951">
        <f t="shared" si="16"/>
        <v>0</v>
      </c>
      <c r="V18" s="496">
        <f t="shared" si="17"/>
        <v>0</v>
      </c>
      <c r="W18" s="5">
        <f>'t1'!N18</f>
        <v>0</v>
      </c>
      <c r="AH18" s="214"/>
      <c r="AI18" s="214"/>
      <c r="AJ18" s="214"/>
      <c r="AK18" s="214"/>
      <c r="AL18" s="214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496">
        <f t="shared" si="18"/>
        <v>0</v>
      </c>
      <c r="BB18" s="5">
        <f>'t1'!AR18</f>
        <v>0</v>
      </c>
    </row>
    <row r="19" spans="1:54" ht="12.75" customHeight="1">
      <c r="A19" s="155" t="str">
        <f>'t1'!A19</f>
        <v>DIRETTORE AMMINISTRATIVO TEMPO DET.ANNUALE (EP2)</v>
      </c>
      <c r="B19" s="229" t="str">
        <f>'t1'!B19</f>
        <v>013EP2</v>
      </c>
      <c r="C19" s="950">
        <f t="shared" si="19"/>
        <v>0</v>
      </c>
      <c r="D19" s="950">
        <f t="shared" si="0"/>
        <v>0</v>
      </c>
      <c r="E19" s="950">
        <f t="shared" si="1"/>
        <v>0</v>
      </c>
      <c r="F19" s="950">
        <f t="shared" si="2"/>
        <v>0</v>
      </c>
      <c r="G19" s="951">
        <f t="shared" si="3"/>
        <v>0</v>
      </c>
      <c r="H19" s="951">
        <f t="shared" si="4"/>
        <v>0</v>
      </c>
      <c r="I19" s="951">
        <f t="shared" si="5"/>
        <v>0</v>
      </c>
      <c r="J19" s="951">
        <f t="shared" si="5"/>
        <v>0</v>
      </c>
      <c r="K19" s="951">
        <f t="shared" si="6"/>
        <v>0</v>
      </c>
      <c r="L19" s="951">
        <f t="shared" si="7"/>
        <v>0</v>
      </c>
      <c r="M19" s="951">
        <f t="shared" si="8"/>
        <v>0</v>
      </c>
      <c r="N19" s="951">
        <f t="shared" si="9"/>
        <v>0</v>
      </c>
      <c r="O19" s="951">
        <f t="shared" si="10"/>
        <v>0</v>
      </c>
      <c r="P19" s="951">
        <f t="shared" si="11"/>
        <v>0</v>
      </c>
      <c r="Q19" s="951">
        <f t="shared" si="12"/>
        <v>0</v>
      </c>
      <c r="R19" s="951">
        <f t="shared" si="13"/>
        <v>0</v>
      </c>
      <c r="S19" s="951">
        <f t="shared" si="14"/>
        <v>0</v>
      </c>
      <c r="T19" s="951">
        <f t="shared" si="15"/>
        <v>0</v>
      </c>
      <c r="U19" s="951">
        <f t="shared" si="16"/>
        <v>0</v>
      </c>
      <c r="V19" s="496">
        <f t="shared" si="17"/>
        <v>0</v>
      </c>
      <c r="W19" s="5">
        <f>'t1'!N19</f>
        <v>0</v>
      </c>
      <c r="AH19" s="214"/>
      <c r="AI19" s="214"/>
      <c r="AJ19" s="214"/>
      <c r="AK19" s="214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496">
        <f t="shared" si="18"/>
        <v>0</v>
      </c>
      <c r="BB19" s="5">
        <f>'t1'!AR19</f>
        <v>0</v>
      </c>
    </row>
    <row r="20" spans="1:54" ht="12.75" customHeight="1">
      <c r="A20" s="155" t="str">
        <f>'t1'!A20</f>
        <v>DIRETTORE DELL UFFICIO DI RAGIONERIA TEMPO DET.ANNUALE (EP1)</v>
      </c>
      <c r="B20" s="229" t="str">
        <f>'t1'!B20</f>
        <v>013160</v>
      </c>
      <c r="C20" s="950">
        <f t="shared" si="19"/>
        <v>0</v>
      </c>
      <c r="D20" s="950">
        <f t="shared" si="0"/>
        <v>0</v>
      </c>
      <c r="E20" s="950">
        <f t="shared" si="1"/>
        <v>0</v>
      </c>
      <c r="F20" s="950">
        <f t="shared" si="2"/>
        <v>0</v>
      </c>
      <c r="G20" s="951">
        <f t="shared" si="3"/>
        <v>0</v>
      </c>
      <c r="H20" s="951">
        <f t="shared" si="4"/>
        <v>0</v>
      </c>
      <c r="I20" s="951">
        <f t="shared" si="5"/>
        <v>0</v>
      </c>
      <c r="J20" s="951">
        <f t="shared" si="5"/>
        <v>0</v>
      </c>
      <c r="K20" s="951">
        <f t="shared" si="6"/>
        <v>0</v>
      </c>
      <c r="L20" s="951">
        <f t="shared" si="7"/>
        <v>0</v>
      </c>
      <c r="M20" s="951">
        <f t="shared" si="8"/>
        <v>0</v>
      </c>
      <c r="N20" s="951">
        <f t="shared" si="9"/>
        <v>0</v>
      </c>
      <c r="O20" s="951">
        <f t="shared" si="10"/>
        <v>0</v>
      </c>
      <c r="P20" s="951">
        <f t="shared" si="11"/>
        <v>0</v>
      </c>
      <c r="Q20" s="951">
        <f t="shared" si="12"/>
        <v>0</v>
      </c>
      <c r="R20" s="951">
        <f t="shared" si="13"/>
        <v>0</v>
      </c>
      <c r="S20" s="951">
        <f t="shared" si="14"/>
        <v>0</v>
      </c>
      <c r="T20" s="951">
        <f t="shared" si="15"/>
        <v>0</v>
      </c>
      <c r="U20" s="951">
        <f t="shared" si="16"/>
        <v>0</v>
      </c>
      <c r="V20" s="496">
        <f t="shared" si="17"/>
        <v>0</v>
      </c>
      <c r="W20" s="5">
        <f>'t1'!N20</f>
        <v>0</v>
      </c>
      <c r="AH20" s="214"/>
      <c r="AI20" s="214"/>
      <c r="AJ20" s="214"/>
      <c r="AK20" s="214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496">
        <f t="shared" si="18"/>
        <v>0</v>
      </c>
      <c r="BB20" s="5">
        <f>'t1'!AR20</f>
        <v>0</v>
      </c>
    </row>
    <row r="21" spans="1:54" ht="12.75" customHeight="1">
      <c r="A21" s="155" t="str">
        <f>'t1'!A21</f>
        <v>DIRETTORE AMMINISTRATIVO T. DET. TERMINE ATTIV DIDATT(EP2)</v>
      </c>
      <c r="B21" s="229" t="str">
        <f>'t1'!B21</f>
        <v>013E2N</v>
      </c>
      <c r="C21" s="950">
        <f t="shared" si="19"/>
        <v>0</v>
      </c>
      <c r="D21" s="950">
        <f t="shared" si="0"/>
        <v>0</v>
      </c>
      <c r="E21" s="950">
        <f t="shared" si="1"/>
        <v>0</v>
      </c>
      <c r="F21" s="950">
        <f t="shared" si="2"/>
        <v>0</v>
      </c>
      <c r="G21" s="951">
        <f t="shared" si="3"/>
        <v>0</v>
      </c>
      <c r="H21" s="951">
        <f t="shared" si="4"/>
        <v>0</v>
      </c>
      <c r="I21" s="951">
        <f t="shared" si="5"/>
        <v>0</v>
      </c>
      <c r="J21" s="951">
        <f t="shared" si="5"/>
        <v>0</v>
      </c>
      <c r="K21" s="951">
        <f t="shared" si="6"/>
        <v>0</v>
      </c>
      <c r="L21" s="951">
        <f t="shared" si="7"/>
        <v>0</v>
      </c>
      <c r="M21" s="951">
        <f t="shared" si="8"/>
        <v>0</v>
      </c>
      <c r="N21" s="951">
        <f t="shared" si="9"/>
        <v>0</v>
      </c>
      <c r="O21" s="951">
        <f t="shared" si="10"/>
        <v>0</v>
      </c>
      <c r="P21" s="951">
        <f t="shared" si="11"/>
        <v>0</v>
      </c>
      <c r="Q21" s="951">
        <f t="shared" si="12"/>
        <v>0</v>
      </c>
      <c r="R21" s="951">
        <f t="shared" si="13"/>
        <v>0</v>
      </c>
      <c r="S21" s="951">
        <f t="shared" si="14"/>
        <v>0</v>
      </c>
      <c r="T21" s="951">
        <f t="shared" si="15"/>
        <v>0</v>
      </c>
      <c r="U21" s="951">
        <f t="shared" si="16"/>
        <v>0</v>
      </c>
      <c r="V21" s="496">
        <f t="shared" si="17"/>
        <v>0</v>
      </c>
      <c r="W21" s="5">
        <f>'t1'!N21</f>
        <v>0</v>
      </c>
      <c r="AH21" s="214"/>
      <c r="AI21" s="214"/>
      <c r="AJ21" s="214"/>
      <c r="AK21" s="214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496">
        <f t="shared" si="18"/>
        <v>0</v>
      </c>
      <c r="BB21" s="5">
        <f>'t1'!AR21</f>
        <v>0</v>
      </c>
    </row>
    <row r="22" spans="1:54" ht="12.75" customHeight="1">
      <c r="A22" s="155" t="str">
        <f>'t1'!A22</f>
        <v>DIRETTORE UFF. RAGIONERIA T. DET. TERM. ATTIV DIDATT(EP1)</v>
      </c>
      <c r="B22" s="229" t="str">
        <f>'t1'!B22</f>
        <v>013E1N</v>
      </c>
      <c r="C22" s="950">
        <f t="shared" si="19"/>
        <v>0</v>
      </c>
      <c r="D22" s="950">
        <f t="shared" si="0"/>
        <v>0</v>
      </c>
      <c r="E22" s="950">
        <f t="shared" si="1"/>
        <v>0</v>
      </c>
      <c r="F22" s="950">
        <f t="shared" si="2"/>
        <v>0</v>
      </c>
      <c r="G22" s="948">
        <f t="shared" si="3"/>
        <v>0</v>
      </c>
      <c r="H22" s="951">
        <f t="shared" si="4"/>
        <v>0</v>
      </c>
      <c r="I22" s="951">
        <f t="shared" si="5"/>
        <v>0</v>
      </c>
      <c r="J22" s="951">
        <f t="shared" si="5"/>
        <v>0</v>
      </c>
      <c r="K22" s="951">
        <f t="shared" si="6"/>
        <v>0</v>
      </c>
      <c r="L22" s="952">
        <f t="shared" si="7"/>
        <v>0</v>
      </c>
      <c r="M22" s="951">
        <f t="shared" si="8"/>
        <v>0</v>
      </c>
      <c r="N22" s="951">
        <f t="shared" si="9"/>
        <v>0</v>
      </c>
      <c r="O22" s="951">
        <f t="shared" si="10"/>
        <v>0</v>
      </c>
      <c r="P22" s="951">
        <f t="shared" si="11"/>
        <v>0</v>
      </c>
      <c r="Q22" s="951">
        <f t="shared" si="12"/>
        <v>0</v>
      </c>
      <c r="R22" s="951">
        <f t="shared" si="13"/>
        <v>0</v>
      </c>
      <c r="S22" s="951">
        <f t="shared" si="14"/>
        <v>0</v>
      </c>
      <c r="T22" s="951">
        <f t="shared" si="15"/>
        <v>0</v>
      </c>
      <c r="U22" s="951">
        <f t="shared" si="16"/>
        <v>0</v>
      </c>
      <c r="V22" s="496">
        <f t="shared" si="17"/>
        <v>0</v>
      </c>
      <c r="W22" s="5">
        <f>'t1'!N22</f>
        <v>0</v>
      </c>
      <c r="AH22" s="214"/>
      <c r="AI22" s="214"/>
      <c r="AJ22" s="214"/>
      <c r="AK22" s="214"/>
      <c r="AL22" s="211"/>
      <c r="AM22" s="215"/>
      <c r="AN22" s="215"/>
      <c r="AO22" s="215"/>
      <c r="AP22" s="215"/>
      <c r="AQ22" s="216"/>
      <c r="AR22" s="215"/>
      <c r="AS22" s="215"/>
      <c r="AT22" s="215"/>
      <c r="AU22" s="215"/>
      <c r="AV22" s="215"/>
      <c r="AW22" s="215"/>
      <c r="AX22" s="215"/>
      <c r="AY22" s="215"/>
      <c r="AZ22" s="215"/>
      <c r="BA22" s="496">
        <f t="shared" si="18"/>
        <v>0</v>
      </c>
      <c r="BB22" s="5">
        <f>'t1'!AR22</f>
        <v>0</v>
      </c>
    </row>
    <row r="23" spans="1:54" ht="12.75" customHeight="1">
      <c r="A23" s="155" t="str">
        <f>'t1'!A23</f>
        <v>COORD. DI BIBLIOT., COORD. TEC. E AMM. TEMPO DET.ANNUALE</v>
      </c>
      <c r="B23" s="229" t="str">
        <f>'t1'!B23</f>
        <v>013DDE</v>
      </c>
      <c r="C23" s="950">
        <f t="shared" si="19"/>
        <v>0</v>
      </c>
      <c r="D23" s="950">
        <f t="shared" si="0"/>
        <v>0</v>
      </c>
      <c r="E23" s="950">
        <f t="shared" si="1"/>
        <v>0</v>
      </c>
      <c r="F23" s="950">
        <f t="shared" si="2"/>
        <v>0</v>
      </c>
      <c r="G23" s="948">
        <f t="shared" si="3"/>
        <v>0</v>
      </c>
      <c r="H23" s="951">
        <f t="shared" si="4"/>
        <v>0</v>
      </c>
      <c r="I23" s="951">
        <f t="shared" si="5"/>
        <v>0</v>
      </c>
      <c r="J23" s="951">
        <f t="shared" si="5"/>
        <v>0</v>
      </c>
      <c r="K23" s="951">
        <f t="shared" si="6"/>
        <v>0</v>
      </c>
      <c r="L23" s="952">
        <f t="shared" si="7"/>
        <v>0</v>
      </c>
      <c r="M23" s="951">
        <f t="shared" si="8"/>
        <v>0</v>
      </c>
      <c r="N23" s="951">
        <f t="shared" si="9"/>
        <v>0</v>
      </c>
      <c r="O23" s="951">
        <f t="shared" si="10"/>
        <v>0</v>
      </c>
      <c r="P23" s="951">
        <f t="shared" si="11"/>
        <v>0</v>
      </c>
      <c r="Q23" s="951">
        <f t="shared" si="12"/>
        <v>0</v>
      </c>
      <c r="R23" s="951">
        <f t="shared" si="13"/>
        <v>0</v>
      </c>
      <c r="S23" s="951">
        <f t="shared" si="14"/>
        <v>0</v>
      </c>
      <c r="T23" s="951">
        <f t="shared" si="15"/>
        <v>0</v>
      </c>
      <c r="U23" s="951">
        <f t="shared" si="16"/>
        <v>0</v>
      </c>
      <c r="V23" s="496">
        <f t="shared" si="17"/>
        <v>0</v>
      </c>
      <c r="W23" s="5">
        <f>'t1'!N23</f>
        <v>0</v>
      </c>
      <c r="AH23" s="214"/>
      <c r="AI23" s="214"/>
      <c r="AJ23" s="214"/>
      <c r="AK23" s="214"/>
      <c r="AL23" s="211"/>
      <c r="AM23" s="215"/>
      <c r="AN23" s="215"/>
      <c r="AO23" s="215"/>
      <c r="AP23" s="215"/>
      <c r="AQ23" s="216"/>
      <c r="AR23" s="215"/>
      <c r="AS23" s="215"/>
      <c r="AT23" s="215"/>
      <c r="AU23" s="215"/>
      <c r="AV23" s="215"/>
      <c r="AW23" s="215"/>
      <c r="AX23" s="215"/>
      <c r="AY23" s="215"/>
      <c r="AZ23" s="215"/>
      <c r="BA23" s="496">
        <f t="shared" si="18"/>
        <v>0</v>
      </c>
      <c r="BB23" s="5">
        <f>'t1'!AR23</f>
        <v>0</v>
      </c>
    </row>
    <row r="24" spans="1:54" ht="12.75" customHeight="1">
      <c r="A24" s="155" t="str">
        <f>'t1'!A24</f>
        <v>COLLAB. TEC. AMMIN. DI BIBLIOT. E DI LAB. TEMPO DET.ANNUALE</v>
      </c>
      <c r="B24" s="229" t="str">
        <f>'t1'!B24</f>
        <v>013CDE</v>
      </c>
      <c r="C24" s="950">
        <f t="shared" si="19"/>
        <v>0</v>
      </c>
      <c r="D24" s="950">
        <f t="shared" si="0"/>
        <v>0</v>
      </c>
      <c r="E24" s="950">
        <f t="shared" si="1"/>
        <v>0</v>
      </c>
      <c r="F24" s="950">
        <f t="shared" si="2"/>
        <v>0</v>
      </c>
      <c r="G24" s="948">
        <f t="shared" si="3"/>
        <v>0</v>
      </c>
      <c r="H24" s="951">
        <f t="shared" si="4"/>
        <v>0</v>
      </c>
      <c r="I24" s="951">
        <f t="shared" si="5"/>
        <v>0</v>
      </c>
      <c r="J24" s="951">
        <f t="shared" si="5"/>
        <v>0</v>
      </c>
      <c r="K24" s="951">
        <f t="shared" si="6"/>
        <v>0</v>
      </c>
      <c r="L24" s="952">
        <f t="shared" si="7"/>
        <v>0</v>
      </c>
      <c r="M24" s="951">
        <f t="shared" si="8"/>
        <v>0</v>
      </c>
      <c r="N24" s="951">
        <f t="shared" si="9"/>
        <v>0</v>
      </c>
      <c r="O24" s="951">
        <f t="shared" si="10"/>
        <v>0</v>
      </c>
      <c r="P24" s="951">
        <f t="shared" si="11"/>
        <v>0</v>
      </c>
      <c r="Q24" s="951">
        <f t="shared" si="12"/>
        <v>0</v>
      </c>
      <c r="R24" s="951">
        <f t="shared" si="13"/>
        <v>0</v>
      </c>
      <c r="S24" s="951">
        <f t="shared" si="14"/>
        <v>0</v>
      </c>
      <c r="T24" s="951">
        <f t="shared" si="15"/>
        <v>0</v>
      </c>
      <c r="U24" s="951">
        <f t="shared" si="16"/>
        <v>0</v>
      </c>
      <c r="V24" s="496">
        <f t="shared" si="17"/>
        <v>0</v>
      </c>
      <c r="W24" s="5">
        <f>'t1'!N24</f>
        <v>0</v>
      </c>
      <c r="AH24" s="214"/>
      <c r="AI24" s="214"/>
      <c r="AJ24" s="214"/>
      <c r="AK24" s="214"/>
      <c r="AL24" s="211"/>
      <c r="AM24" s="215"/>
      <c r="AN24" s="215"/>
      <c r="AO24" s="215"/>
      <c r="AP24" s="215"/>
      <c r="AQ24" s="216"/>
      <c r="AR24" s="215"/>
      <c r="AS24" s="215"/>
      <c r="AT24" s="215"/>
      <c r="AU24" s="215"/>
      <c r="AV24" s="215"/>
      <c r="AW24" s="215"/>
      <c r="AX24" s="215"/>
      <c r="AY24" s="215"/>
      <c r="AZ24" s="215"/>
      <c r="BA24" s="496">
        <f t="shared" si="18"/>
        <v>0</v>
      </c>
      <c r="BB24" s="5">
        <f>'t1'!AR24</f>
        <v>0</v>
      </c>
    </row>
    <row r="25" spans="1:54" ht="12.75" customHeight="1">
      <c r="A25" s="155" t="str">
        <f>'t1'!A25</f>
        <v>ASSIST. AMMINISTRATIVO TEMPO DET.ANNUALE</v>
      </c>
      <c r="B25" s="229" t="str">
        <f>'t1'!B25</f>
        <v>012118</v>
      </c>
      <c r="C25" s="950">
        <f t="shared" si="19"/>
        <v>0</v>
      </c>
      <c r="D25" s="950">
        <f t="shared" si="0"/>
        <v>0</v>
      </c>
      <c r="E25" s="950">
        <f t="shared" si="1"/>
        <v>0</v>
      </c>
      <c r="F25" s="950">
        <f t="shared" si="2"/>
        <v>0</v>
      </c>
      <c r="G25" s="948">
        <f t="shared" si="3"/>
        <v>0</v>
      </c>
      <c r="H25" s="951">
        <f t="shared" si="4"/>
        <v>0</v>
      </c>
      <c r="I25" s="951">
        <f t="shared" si="5"/>
        <v>0</v>
      </c>
      <c r="J25" s="951">
        <f t="shared" si="5"/>
        <v>0</v>
      </c>
      <c r="K25" s="951">
        <f t="shared" si="6"/>
        <v>0</v>
      </c>
      <c r="L25" s="952">
        <f t="shared" si="7"/>
        <v>0</v>
      </c>
      <c r="M25" s="951">
        <f t="shared" si="8"/>
        <v>0</v>
      </c>
      <c r="N25" s="951">
        <f t="shared" si="9"/>
        <v>0</v>
      </c>
      <c r="O25" s="951">
        <f t="shared" si="10"/>
        <v>0</v>
      </c>
      <c r="P25" s="951">
        <f t="shared" si="11"/>
        <v>0</v>
      </c>
      <c r="Q25" s="951">
        <f t="shared" si="12"/>
        <v>0</v>
      </c>
      <c r="R25" s="951">
        <f t="shared" si="13"/>
        <v>0</v>
      </c>
      <c r="S25" s="951">
        <f t="shared" si="14"/>
        <v>0</v>
      </c>
      <c r="T25" s="951">
        <f t="shared" si="15"/>
        <v>0</v>
      </c>
      <c r="U25" s="951">
        <f t="shared" si="16"/>
        <v>85</v>
      </c>
      <c r="V25" s="496">
        <f t="shared" si="17"/>
        <v>85</v>
      </c>
      <c r="W25" s="5">
        <f>'t1'!N25</f>
        <v>1</v>
      </c>
      <c r="AH25" s="214"/>
      <c r="AI25" s="214"/>
      <c r="AJ25" s="214"/>
      <c r="AK25" s="214"/>
      <c r="AL25" s="211"/>
      <c r="AM25" s="215"/>
      <c r="AN25" s="215"/>
      <c r="AO25" s="215"/>
      <c r="AP25" s="215"/>
      <c r="AQ25" s="216"/>
      <c r="AR25" s="215"/>
      <c r="AS25" s="215"/>
      <c r="AT25" s="215"/>
      <c r="AU25" s="215"/>
      <c r="AV25" s="215"/>
      <c r="AW25" s="215"/>
      <c r="AX25" s="215"/>
      <c r="AY25" s="215"/>
      <c r="AZ25" s="215">
        <v>85</v>
      </c>
      <c r="BA25" s="496">
        <f t="shared" si="18"/>
        <v>85</v>
      </c>
      <c r="BB25" s="5">
        <f>'t1'!AR25</f>
        <v>0</v>
      </c>
    </row>
    <row r="26" spans="1:54" ht="12.75" customHeight="1">
      <c r="A26" s="155" t="str">
        <f>'t1'!A26</f>
        <v>COADIUTORE TEMPO DET.ANNUALE</v>
      </c>
      <c r="B26" s="229" t="str">
        <f>'t1'!B26</f>
        <v>011124</v>
      </c>
      <c r="C26" s="950">
        <f t="shared" si="19"/>
        <v>0</v>
      </c>
      <c r="D26" s="950">
        <f t="shared" si="0"/>
        <v>0</v>
      </c>
      <c r="E26" s="950">
        <f t="shared" si="1"/>
        <v>0</v>
      </c>
      <c r="F26" s="950">
        <f t="shared" si="2"/>
        <v>0</v>
      </c>
      <c r="G26" s="948">
        <f t="shared" si="3"/>
        <v>0</v>
      </c>
      <c r="H26" s="951">
        <f t="shared" si="4"/>
        <v>0</v>
      </c>
      <c r="I26" s="951">
        <f t="shared" si="5"/>
        <v>0</v>
      </c>
      <c r="J26" s="951">
        <f t="shared" si="5"/>
        <v>0</v>
      </c>
      <c r="K26" s="951">
        <f t="shared" si="6"/>
        <v>0</v>
      </c>
      <c r="L26" s="952">
        <f t="shared" si="7"/>
        <v>0</v>
      </c>
      <c r="M26" s="951">
        <f t="shared" si="8"/>
        <v>0</v>
      </c>
      <c r="N26" s="951">
        <f t="shared" si="9"/>
        <v>0</v>
      </c>
      <c r="O26" s="951">
        <f t="shared" si="10"/>
        <v>0</v>
      </c>
      <c r="P26" s="951">
        <f t="shared" si="11"/>
        <v>0</v>
      </c>
      <c r="Q26" s="951">
        <f t="shared" si="12"/>
        <v>0</v>
      </c>
      <c r="R26" s="951">
        <f t="shared" si="13"/>
        <v>0</v>
      </c>
      <c r="S26" s="951">
        <f t="shared" si="14"/>
        <v>0</v>
      </c>
      <c r="T26" s="951">
        <f t="shared" si="15"/>
        <v>0</v>
      </c>
      <c r="U26" s="951">
        <f t="shared" si="16"/>
        <v>0</v>
      </c>
      <c r="V26" s="496">
        <f t="shared" si="17"/>
        <v>0</v>
      </c>
      <c r="W26" s="5">
        <f>'t1'!N26</f>
        <v>4</v>
      </c>
      <c r="AH26" s="214"/>
      <c r="AI26" s="214"/>
      <c r="AJ26" s="214"/>
      <c r="AK26" s="214"/>
      <c r="AL26" s="211"/>
      <c r="AM26" s="215"/>
      <c r="AN26" s="215"/>
      <c r="AO26" s="215"/>
      <c r="AP26" s="215"/>
      <c r="AQ26" s="216"/>
      <c r="AR26" s="215"/>
      <c r="AS26" s="215"/>
      <c r="AT26" s="215"/>
      <c r="AU26" s="215"/>
      <c r="AV26" s="215"/>
      <c r="AW26" s="215"/>
      <c r="AX26" s="215"/>
      <c r="AY26" s="215"/>
      <c r="AZ26" s="215"/>
      <c r="BA26" s="496">
        <f t="shared" si="18"/>
        <v>0</v>
      </c>
      <c r="BB26" s="5">
        <f>'t1'!AR26</f>
        <v>0</v>
      </c>
    </row>
    <row r="27" spans="1:54" ht="12.75" customHeight="1">
      <c r="A27" s="155" t="str">
        <f>'t1'!A27</f>
        <v>COORD. BIBL., COORD. TEC. E AMM. T. DET. TERM. ATTIV DIDATT</v>
      </c>
      <c r="B27" s="229" t="str">
        <f>'t1'!B27</f>
        <v>013DDN</v>
      </c>
      <c r="C27" s="950">
        <f t="shared" si="19"/>
        <v>0</v>
      </c>
      <c r="D27" s="950">
        <f t="shared" si="0"/>
        <v>0</v>
      </c>
      <c r="E27" s="950">
        <f t="shared" si="1"/>
        <v>0</v>
      </c>
      <c r="F27" s="950">
        <f t="shared" si="2"/>
        <v>0</v>
      </c>
      <c r="G27" s="948">
        <f t="shared" si="3"/>
        <v>0</v>
      </c>
      <c r="H27" s="953">
        <f t="shared" si="4"/>
        <v>0</v>
      </c>
      <c r="I27" s="953">
        <f t="shared" si="5"/>
        <v>0</v>
      </c>
      <c r="J27" s="951">
        <f t="shared" si="5"/>
        <v>0</v>
      </c>
      <c r="K27" s="953">
        <f t="shared" si="6"/>
        <v>0</v>
      </c>
      <c r="L27" s="953">
        <f t="shared" si="7"/>
        <v>0</v>
      </c>
      <c r="M27" s="951">
        <f t="shared" si="8"/>
        <v>0</v>
      </c>
      <c r="N27" s="951">
        <f t="shared" si="9"/>
        <v>0</v>
      </c>
      <c r="O27" s="951">
        <f t="shared" si="10"/>
        <v>0</v>
      </c>
      <c r="P27" s="951">
        <f t="shared" si="11"/>
        <v>0</v>
      </c>
      <c r="Q27" s="951">
        <f t="shared" si="12"/>
        <v>0</v>
      </c>
      <c r="R27" s="951">
        <f t="shared" si="13"/>
        <v>0</v>
      </c>
      <c r="S27" s="951">
        <f t="shared" si="14"/>
        <v>0</v>
      </c>
      <c r="T27" s="951">
        <f t="shared" si="15"/>
        <v>0</v>
      </c>
      <c r="U27" s="951">
        <f t="shared" si="16"/>
        <v>0</v>
      </c>
      <c r="V27" s="496">
        <f t="shared" si="17"/>
        <v>0</v>
      </c>
      <c r="W27" s="5">
        <f>'t1'!N27</f>
        <v>0</v>
      </c>
      <c r="AH27" s="214"/>
      <c r="AI27" s="214"/>
      <c r="AJ27" s="214"/>
      <c r="AK27" s="214"/>
      <c r="AL27" s="211"/>
      <c r="AM27" s="217"/>
      <c r="AN27" s="217"/>
      <c r="AO27" s="217"/>
      <c r="AP27" s="217"/>
      <c r="AQ27" s="217"/>
      <c r="AR27" s="215"/>
      <c r="AS27" s="215"/>
      <c r="AT27" s="215"/>
      <c r="AU27" s="215"/>
      <c r="AV27" s="215"/>
      <c r="AW27" s="215"/>
      <c r="AX27" s="215"/>
      <c r="AY27" s="215"/>
      <c r="AZ27" s="215"/>
      <c r="BA27" s="496">
        <f t="shared" si="18"/>
        <v>0</v>
      </c>
      <c r="BB27" s="5">
        <f>'t1'!AR27</f>
        <v>0</v>
      </c>
    </row>
    <row r="28" spans="1:54" ht="12.75" customHeight="1">
      <c r="A28" s="155" t="str">
        <f>'t1'!A28</f>
        <v>COLLAB. TEC. AMM. BIBL. E DI LAB. T. D. TERM. ATTIV DIDATT</v>
      </c>
      <c r="B28" s="229" t="str">
        <f>'t1'!B28</f>
        <v>013CDN</v>
      </c>
      <c r="C28" s="950">
        <f t="shared" si="19"/>
        <v>0</v>
      </c>
      <c r="D28" s="950">
        <f t="shared" si="0"/>
        <v>0</v>
      </c>
      <c r="E28" s="950">
        <f t="shared" si="1"/>
        <v>0</v>
      </c>
      <c r="F28" s="950">
        <f t="shared" si="2"/>
        <v>0</v>
      </c>
      <c r="G28" s="950">
        <f t="shared" si="3"/>
        <v>0</v>
      </c>
      <c r="H28" s="951">
        <f t="shared" si="4"/>
        <v>0</v>
      </c>
      <c r="I28" s="951">
        <f t="shared" si="5"/>
        <v>0</v>
      </c>
      <c r="J28" s="951">
        <f t="shared" si="5"/>
        <v>0</v>
      </c>
      <c r="K28" s="951">
        <f t="shared" si="6"/>
        <v>0</v>
      </c>
      <c r="L28" s="952">
        <f t="shared" si="7"/>
        <v>0</v>
      </c>
      <c r="M28" s="951">
        <f t="shared" si="8"/>
        <v>0</v>
      </c>
      <c r="N28" s="951">
        <f t="shared" si="9"/>
        <v>0</v>
      </c>
      <c r="O28" s="951">
        <f t="shared" si="10"/>
        <v>0</v>
      </c>
      <c r="P28" s="951">
        <f t="shared" si="11"/>
        <v>0</v>
      </c>
      <c r="Q28" s="951">
        <f t="shared" si="12"/>
        <v>0</v>
      </c>
      <c r="R28" s="951">
        <f t="shared" si="13"/>
        <v>0</v>
      </c>
      <c r="S28" s="951">
        <f t="shared" si="14"/>
        <v>0</v>
      </c>
      <c r="T28" s="951">
        <f t="shared" si="15"/>
        <v>0</v>
      </c>
      <c r="U28" s="951">
        <f t="shared" si="16"/>
        <v>0</v>
      </c>
      <c r="V28" s="496">
        <f t="shared" si="17"/>
        <v>0</v>
      </c>
      <c r="W28" s="5">
        <f>'t1'!N28</f>
        <v>0</v>
      </c>
      <c r="AH28" s="214"/>
      <c r="AI28" s="214"/>
      <c r="AJ28" s="214"/>
      <c r="AK28" s="214"/>
      <c r="AL28" s="214"/>
      <c r="AM28" s="215"/>
      <c r="AN28" s="215"/>
      <c r="AO28" s="215"/>
      <c r="AP28" s="215"/>
      <c r="AQ28" s="216"/>
      <c r="AR28" s="215"/>
      <c r="AS28" s="215"/>
      <c r="AT28" s="215"/>
      <c r="AU28" s="215"/>
      <c r="AV28" s="215"/>
      <c r="AW28" s="215"/>
      <c r="AX28" s="215"/>
      <c r="AY28" s="215"/>
      <c r="AZ28" s="215"/>
      <c r="BA28" s="496">
        <f t="shared" si="18"/>
        <v>0</v>
      </c>
      <c r="BB28" s="5">
        <f>'t1'!AR28</f>
        <v>0</v>
      </c>
    </row>
    <row r="29" spans="1:54" ht="12.75" customHeight="1">
      <c r="A29" s="155" t="str">
        <f>'t1'!A29</f>
        <v>ASSISTENTE AMMINISTRATIVO TEM.DET. TERMINE ATTIV DIDATT</v>
      </c>
      <c r="B29" s="229" t="str">
        <f>'t1'!B29</f>
        <v>016509</v>
      </c>
      <c r="C29" s="950">
        <f t="shared" si="19"/>
        <v>0</v>
      </c>
      <c r="D29" s="950">
        <f t="shared" si="0"/>
        <v>0</v>
      </c>
      <c r="E29" s="950">
        <f t="shared" si="1"/>
        <v>0</v>
      </c>
      <c r="F29" s="950">
        <f t="shared" si="2"/>
        <v>0</v>
      </c>
      <c r="G29" s="950">
        <f t="shared" si="3"/>
        <v>0</v>
      </c>
      <c r="H29" s="951">
        <f t="shared" si="4"/>
        <v>0</v>
      </c>
      <c r="I29" s="951">
        <f t="shared" si="5"/>
        <v>0</v>
      </c>
      <c r="J29" s="951">
        <f t="shared" si="5"/>
        <v>0</v>
      </c>
      <c r="K29" s="951">
        <f t="shared" si="6"/>
        <v>0</v>
      </c>
      <c r="L29" s="951">
        <f t="shared" si="7"/>
        <v>0</v>
      </c>
      <c r="M29" s="951">
        <f t="shared" si="8"/>
        <v>0</v>
      </c>
      <c r="N29" s="951">
        <f t="shared" si="9"/>
        <v>0</v>
      </c>
      <c r="O29" s="951">
        <f t="shared" si="10"/>
        <v>0</v>
      </c>
      <c r="P29" s="951">
        <f t="shared" si="11"/>
        <v>0</v>
      </c>
      <c r="Q29" s="951">
        <f t="shared" si="12"/>
        <v>0</v>
      </c>
      <c r="R29" s="951">
        <f t="shared" si="13"/>
        <v>0</v>
      </c>
      <c r="S29" s="951">
        <f t="shared" si="14"/>
        <v>0</v>
      </c>
      <c r="T29" s="951">
        <f t="shared" si="15"/>
        <v>0</v>
      </c>
      <c r="U29" s="951">
        <f t="shared" si="16"/>
        <v>0</v>
      </c>
      <c r="V29" s="496">
        <f t="shared" si="17"/>
        <v>0</v>
      </c>
      <c r="W29" s="5">
        <f>'t1'!N29</f>
        <v>0</v>
      </c>
      <c r="AH29" s="214"/>
      <c r="AI29" s="214"/>
      <c r="AJ29" s="214"/>
      <c r="AK29" s="214"/>
      <c r="AL29" s="214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496">
        <f t="shared" si="18"/>
        <v>0</v>
      </c>
      <c r="BB29" s="5">
        <f>'t1'!AR29</f>
        <v>0</v>
      </c>
    </row>
    <row r="30" spans="1:54" ht="12.75" customHeight="1" thickBot="1">
      <c r="A30" s="155" t="str">
        <f>'t1'!A30</f>
        <v>COADIUTORE TEMPO DET. TERMINE ATTIV DIDATT</v>
      </c>
      <c r="B30" s="229" t="str">
        <f>'t1'!B30</f>
        <v>011CNA</v>
      </c>
      <c r="C30" s="950">
        <f t="shared" si="19"/>
        <v>0</v>
      </c>
      <c r="D30" s="950">
        <f t="shared" si="0"/>
        <v>0</v>
      </c>
      <c r="E30" s="950">
        <f t="shared" si="1"/>
        <v>0</v>
      </c>
      <c r="F30" s="950">
        <f t="shared" si="2"/>
        <v>0</v>
      </c>
      <c r="G30" s="950">
        <f t="shared" si="3"/>
        <v>0</v>
      </c>
      <c r="H30" s="951">
        <f t="shared" si="4"/>
        <v>0</v>
      </c>
      <c r="I30" s="951">
        <f t="shared" si="5"/>
        <v>0</v>
      </c>
      <c r="J30" s="951">
        <f t="shared" si="5"/>
        <v>0</v>
      </c>
      <c r="K30" s="951">
        <f t="shared" si="6"/>
        <v>0</v>
      </c>
      <c r="L30" s="951">
        <f t="shared" si="7"/>
        <v>0</v>
      </c>
      <c r="M30" s="951">
        <f t="shared" si="8"/>
        <v>0</v>
      </c>
      <c r="N30" s="951">
        <f t="shared" si="9"/>
        <v>0</v>
      </c>
      <c r="O30" s="951">
        <f t="shared" si="10"/>
        <v>0</v>
      </c>
      <c r="P30" s="951">
        <f t="shared" si="11"/>
        <v>0</v>
      </c>
      <c r="Q30" s="951">
        <f t="shared" si="12"/>
        <v>0</v>
      </c>
      <c r="R30" s="951">
        <f t="shared" si="13"/>
        <v>0</v>
      </c>
      <c r="S30" s="951">
        <f t="shared" si="14"/>
        <v>0</v>
      </c>
      <c r="T30" s="951">
        <f t="shared" si="15"/>
        <v>0</v>
      </c>
      <c r="U30" s="951">
        <f t="shared" si="16"/>
        <v>0</v>
      </c>
      <c r="V30" s="496">
        <f t="shared" si="17"/>
        <v>0</v>
      </c>
      <c r="W30" s="5">
        <f>'t1'!N30</f>
        <v>0</v>
      </c>
      <c r="AH30" s="214"/>
      <c r="AI30" s="214"/>
      <c r="AJ30" s="214"/>
      <c r="AK30" s="214"/>
      <c r="AL30" s="214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496">
        <f t="shared" si="18"/>
        <v>0</v>
      </c>
      <c r="BB30" s="5">
        <f>'t1'!AR30</f>
        <v>0</v>
      </c>
    </row>
    <row r="31" spans="1:53" ht="15" customHeight="1" thickBot="1" thickTop="1">
      <c r="A31" s="165" t="s">
        <v>82</v>
      </c>
      <c r="B31" s="122"/>
      <c r="C31" s="495">
        <f aca="true" t="shared" si="20" ref="C31:V31">SUM(C6:C30)</f>
        <v>0</v>
      </c>
      <c r="D31" s="495">
        <f t="shared" si="20"/>
        <v>7700</v>
      </c>
      <c r="E31" s="495">
        <f t="shared" si="20"/>
        <v>0</v>
      </c>
      <c r="F31" s="495">
        <f t="shared" si="20"/>
        <v>0</v>
      </c>
      <c r="G31" s="495">
        <f t="shared" si="20"/>
        <v>0</v>
      </c>
      <c r="H31" s="495">
        <f t="shared" si="20"/>
        <v>0</v>
      </c>
      <c r="I31" s="495">
        <f t="shared" si="20"/>
        <v>0</v>
      </c>
      <c r="J31" s="495">
        <f t="shared" si="20"/>
        <v>0</v>
      </c>
      <c r="K31" s="495">
        <f t="shared" si="20"/>
        <v>0</v>
      </c>
      <c r="L31" s="495">
        <f t="shared" si="20"/>
        <v>0</v>
      </c>
      <c r="M31" s="495">
        <f t="shared" si="20"/>
        <v>3370</v>
      </c>
      <c r="N31" s="495">
        <f t="shared" si="20"/>
        <v>0</v>
      </c>
      <c r="O31" s="495">
        <f t="shared" si="20"/>
        <v>14040</v>
      </c>
      <c r="P31" s="495">
        <f t="shared" si="20"/>
        <v>0</v>
      </c>
      <c r="Q31" s="495">
        <f t="shared" si="20"/>
        <v>0</v>
      </c>
      <c r="R31" s="495">
        <f t="shared" si="20"/>
        <v>0</v>
      </c>
      <c r="S31" s="495">
        <f t="shared" si="20"/>
        <v>0</v>
      </c>
      <c r="T31" s="495">
        <f t="shared" si="20"/>
        <v>0</v>
      </c>
      <c r="U31" s="495">
        <f t="shared" si="20"/>
        <v>6179</v>
      </c>
      <c r="V31" s="493">
        <f t="shared" si="20"/>
        <v>31289</v>
      </c>
      <c r="AH31" s="495">
        <f aca="true" t="shared" si="21" ref="AH31:BA31">SUM(AH6:AH30)</f>
        <v>0</v>
      </c>
      <c r="AI31" s="495">
        <f t="shared" si="21"/>
        <v>7700</v>
      </c>
      <c r="AJ31" s="495">
        <f t="shared" si="21"/>
        <v>0</v>
      </c>
      <c r="AK31" s="495">
        <f t="shared" si="21"/>
        <v>0</v>
      </c>
      <c r="AL31" s="495">
        <f t="shared" si="21"/>
        <v>0</v>
      </c>
      <c r="AM31" s="495">
        <f t="shared" si="21"/>
        <v>0</v>
      </c>
      <c r="AN31" s="495">
        <f t="shared" si="21"/>
        <v>0</v>
      </c>
      <c r="AO31" s="495">
        <f t="shared" si="21"/>
        <v>0</v>
      </c>
      <c r="AP31" s="495">
        <f t="shared" si="21"/>
        <v>0</v>
      </c>
      <c r="AQ31" s="495">
        <f t="shared" si="21"/>
        <v>0</v>
      </c>
      <c r="AR31" s="495">
        <f t="shared" si="21"/>
        <v>3370</v>
      </c>
      <c r="AS31" s="495">
        <f t="shared" si="21"/>
        <v>0</v>
      </c>
      <c r="AT31" s="495">
        <f t="shared" si="21"/>
        <v>14040</v>
      </c>
      <c r="AU31" s="495">
        <f t="shared" si="21"/>
        <v>0</v>
      </c>
      <c r="AV31" s="495">
        <f t="shared" si="21"/>
        <v>0</v>
      </c>
      <c r="AW31" s="495">
        <f t="shared" si="21"/>
        <v>0</v>
      </c>
      <c r="AX31" s="495">
        <f t="shared" si="21"/>
        <v>0</v>
      </c>
      <c r="AY31" s="495">
        <f t="shared" si="21"/>
        <v>0</v>
      </c>
      <c r="AZ31" s="495">
        <f t="shared" si="21"/>
        <v>6179</v>
      </c>
      <c r="BA31" s="493">
        <f t="shared" si="21"/>
        <v>31289</v>
      </c>
    </row>
    <row r="32" spans="1:57" ht="11.25">
      <c r="A32" s="26"/>
      <c r="V32" s="44"/>
      <c r="X32" s="44"/>
      <c r="Y32" s="44"/>
      <c r="Z32" s="44"/>
      <c r="BA32" s="44"/>
      <c r="BC32" s="44"/>
      <c r="BD32" s="44"/>
      <c r="BE32" s="44"/>
    </row>
    <row r="33" ht="11.25">
      <c r="A33" s="26"/>
    </row>
    <row r="34" spans="1:57" ht="11.25">
      <c r="A34" s="5" t="s">
        <v>192</v>
      </c>
      <c r="B34" s="61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</row>
    <row r="35" ht="11.25">
      <c r="A35" s="157"/>
    </row>
    <row r="36" ht="11.25">
      <c r="A36" s="157"/>
    </row>
    <row r="37" ht="11.25">
      <c r="A37" s="3"/>
    </row>
  </sheetData>
  <sheetProtection password="EA98" sheet="1" formatColumns="0" selectLockedCells="1"/>
  <mergeCells count="1">
    <mergeCell ref="A1:U1"/>
  </mergeCells>
  <conditionalFormatting sqref="A6:V30">
    <cfRule type="expression" priority="4" dxfId="3" stopIfTrue="1">
      <formula>$W6&gt;0</formula>
    </cfRule>
  </conditionalFormatting>
  <conditionalFormatting sqref="AH6:BA30">
    <cfRule type="expression" priority="3" dxfId="3" stopIfTrue="1">
      <formula>$W6&gt;0</formula>
    </cfRule>
  </conditionalFormatting>
  <conditionalFormatting sqref="AH6:AS26">
    <cfRule type="expression" priority="2" dxfId="3" stopIfTrue="1">
      <formula>$W6&gt;0</formula>
    </cfRule>
  </conditionalFormatting>
  <conditionalFormatting sqref="AH6:AZ26">
    <cfRule type="expression" priority="1" dxfId="3" stopIfTrue="1">
      <formula>$W6&gt;0</formula>
    </cfRule>
  </conditionalFormatting>
  <dataValidations count="1">
    <dataValidation type="whole" allowBlank="1" showInputMessage="1" showErrorMessage="1" errorTitle="ERRORE NEL DATO IMMESSO" error="INSERIRE SOLO NUMERI INTERI" sqref="AH6:AZ30">
      <formula1>1</formula1>
      <formula2>999999999999</formula2>
    </dataValidation>
  </dataValidations>
  <printOptions horizontalCentered="1" verticalCentered="1"/>
  <pageMargins left="0" right="0" top="0.15748031496062992" bottom="0.15748031496062992" header="0.1968503937007874" footer="0.1968503937007874"/>
  <pageSetup horizontalDpi="300" verticalDpi="300" orientation="landscape" paperSize="9" scale="6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1"/>
  <dimension ref="A1:N53"/>
  <sheetViews>
    <sheetView showGridLines="0" zoomScalePageLayoutView="0" workbookViewId="0" topLeftCell="A1">
      <pane ySplit="3" topLeftCell="A31" activePane="bottomLeft" state="frozen"/>
      <selection pane="topLeft" activeCell="E11" sqref="E11"/>
      <selection pane="bottomLeft" activeCell="D17" sqref="D17"/>
    </sheetView>
  </sheetViews>
  <sheetFormatPr defaultColWidth="9.33203125" defaultRowHeight="10.5"/>
  <cols>
    <col min="1" max="1" width="87.83203125" style="0" customWidth="1"/>
    <col min="2" max="2" width="18" style="0" customWidth="1"/>
    <col min="3" max="3" width="18" style="0" hidden="1" customWidth="1"/>
    <col min="4" max="4" width="38.66015625" style="0" customWidth="1"/>
    <col min="6" max="6" width="12.5" style="0" bestFit="1" customWidth="1"/>
    <col min="7" max="7" width="0" style="0" hidden="1" customWidth="1"/>
  </cols>
  <sheetData>
    <row r="1" spans="1:14" s="5" customFormat="1" ht="43.5" customHeight="1">
      <c r="A1" s="1155" t="str">
        <f>'t1'!A1</f>
        <v>COMPARTO AFAM - anno 2016</v>
      </c>
      <c r="B1" s="1155"/>
      <c r="C1" s="1155"/>
      <c r="D1" s="1155"/>
      <c r="E1" s="3"/>
      <c r="F1" s="3"/>
      <c r="G1" s="3"/>
      <c r="H1" s="4"/>
      <c r="I1" s="3"/>
      <c r="J1" s="3"/>
      <c r="K1" s="3"/>
      <c r="L1" s="3"/>
      <c r="N1"/>
    </row>
    <row r="2" spans="1:4" ht="30" customHeight="1" thickBot="1">
      <c r="A2" s="6"/>
      <c r="B2" s="1208">
        <f>IF(AND(A32="",(D25+D26+D27+D28+D29)&gt;0),"ATTENZIONE!  Inserire nel campo NOTE l'elenco delle Istituzioni ed il relativo importo dei rimborsi",IF(AND(A32&lt;&gt;"",(D25+D26+D27+D28+D29)=0),"ATTENZIONE!  il campo NOTE non deve essere compilato in assenza di rimborsi",""))</f>
      </c>
      <c r="C2" s="1208"/>
      <c r="D2" s="1208"/>
    </row>
    <row r="3" spans="1:4" ht="21.75" customHeight="1" thickBot="1">
      <c r="A3" s="110" t="s">
        <v>137</v>
      </c>
      <c r="B3" s="298" t="s">
        <v>110</v>
      </c>
      <c r="C3" s="954"/>
      <c r="D3" s="299" t="s">
        <v>112</v>
      </c>
    </row>
    <row r="4" spans="1:4" s="112" customFormat="1" ht="23.25" customHeight="1" thickTop="1">
      <c r="A4" s="111" t="s">
        <v>160</v>
      </c>
      <c r="B4" s="172" t="s">
        <v>164</v>
      </c>
      <c r="C4" s="963">
        <f>ROUND(D4,0)</f>
        <v>0</v>
      </c>
      <c r="D4" s="218"/>
    </row>
    <row r="5" spans="1:4" s="112" customFormat="1" ht="23.25" customHeight="1">
      <c r="A5" s="115" t="s">
        <v>400</v>
      </c>
      <c r="B5" s="173" t="s">
        <v>176</v>
      </c>
      <c r="C5" s="956">
        <f aca="true" t="shared" si="0" ref="C5:C29">ROUND(D5,0)</f>
        <v>0</v>
      </c>
      <c r="D5" s="218"/>
    </row>
    <row r="6" spans="1:4" s="112" customFormat="1" ht="23.25" customHeight="1">
      <c r="A6" s="115" t="s">
        <v>154</v>
      </c>
      <c r="B6" s="162" t="s">
        <v>177</v>
      </c>
      <c r="C6" s="955">
        <f t="shared" si="0"/>
        <v>0</v>
      </c>
      <c r="D6" s="218"/>
    </row>
    <row r="7" spans="1:4" s="112" customFormat="1" ht="23.25" customHeight="1">
      <c r="A7" s="115" t="s">
        <v>158</v>
      </c>
      <c r="B7" s="174" t="s">
        <v>178</v>
      </c>
      <c r="C7" s="956">
        <f t="shared" si="0"/>
        <v>0</v>
      </c>
      <c r="D7" s="218"/>
    </row>
    <row r="8" spans="1:4" s="112" customFormat="1" ht="23.25" customHeight="1">
      <c r="A8" s="116" t="s">
        <v>157</v>
      </c>
      <c r="B8" s="162" t="s">
        <v>179</v>
      </c>
      <c r="C8" s="955">
        <f t="shared" si="0"/>
        <v>0</v>
      </c>
      <c r="D8" s="218"/>
    </row>
    <row r="9" spans="1:4" s="112" customFormat="1" ht="23.25" customHeight="1">
      <c r="A9" s="140" t="s">
        <v>156</v>
      </c>
      <c r="B9" s="174" t="s">
        <v>180</v>
      </c>
      <c r="C9" s="956">
        <f t="shared" si="0"/>
        <v>0</v>
      </c>
      <c r="D9" s="219"/>
    </row>
    <row r="10" spans="1:4" s="112" customFormat="1" ht="23.25" customHeight="1">
      <c r="A10" s="175" t="s">
        <v>401</v>
      </c>
      <c r="B10" s="162" t="s">
        <v>168</v>
      </c>
      <c r="C10" s="955">
        <f t="shared" si="0"/>
        <v>0</v>
      </c>
      <c r="D10" s="218"/>
    </row>
    <row r="11" spans="1:4" s="112" customFormat="1" ht="23.25" customHeight="1">
      <c r="A11" s="116" t="s">
        <v>181</v>
      </c>
      <c r="B11" s="161" t="s">
        <v>182</v>
      </c>
      <c r="C11" s="955">
        <f t="shared" si="0"/>
        <v>0</v>
      </c>
      <c r="D11" s="218"/>
    </row>
    <row r="12" spans="1:4" s="112" customFormat="1" ht="23.25" customHeight="1">
      <c r="A12" s="116" t="s">
        <v>56</v>
      </c>
      <c r="B12" s="161" t="s">
        <v>184</v>
      </c>
      <c r="C12" s="955">
        <f t="shared" si="0"/>
        <v>121136</v>
      </c>
      <c r="D12" s="218">
        <v>121136</v>
      </c>
    </row>
    <row r="13" spans="1:4" s="112" customFormat="1" ht="23.25" customHeight="1">
      <c r="A13" s="116" t="s">
        <v>402</v>
      </c>
      <c r="B13" s="162" t="s">
        <v>196</v>
      </c>
      <c r="C13" s="955">
        <f t="shared" si="0"/>
        <v>0</v>
      </c>
      <c r="D13" s="218"/>
    </row>
    <row r="14" spans="1:4" s="112" customFormat="1" ht="23.25" customHeight="1">
      <c r="A14" s="116" t="s">
        <v>2</v>
      </c>
      <c r="B14" s="162" t="s">
        <v>3</v>
      </c>
      <c r="C14" s="955">
        <f t="shared" si="0"/>
        <v>22162</v>
      </c>
      <c r="D14" s="218">
        <v>22162</v>
      </c>
    </row>
    <row r="15" spans="1:4" s="112" customFormat="1" ht="23.25" customHeight="1">
      <c r="A15" s="140" t="s">
        <v>114</v>
      </c>
      <c r="B15" s="174" t="s">
        <v>183</v>
      </c>
      <c r="C15" s="956">
        <f t="shared" si="0"/>
        <v>0</v>
      </c>
      <c r="D15" s="219"/>
    </row>
    <row r="16" spans="1:4" s="112" customFormat="1" ht="23.25" customHeight="1">
      <c r="A16" s="175" t="s">
        <v>403</v>
      </c>
      <c r="B16" s="173" t="s">
        <v>165</v>
      </c>
      <c r="C16" s="957">
        <f t="shared" si="0"/>
        <v>16901</v>
      </c>
      <c r="D16" s="219">
        <v>16901</v>
      </c>
    </row>
    <row r="17" spans="1:4" s="112" customFormat="1" ht="23.25" customHeight="1">
      <c r="A17" s="117" t="s">
        <v>404</v>
      </c>
      <c r="B17" s="162" t="s">
        <v>166</v>
      </c>
      <c r="C17" s="955">
        <f t="shared" si="0"/>
        <v>0</v>
      </c>
      <c r="D17" s="218"/>
    </row>
    <row r="18" spans="1:4" s="114" customFormat="1" ht="23.25" customHeight="1">
      <c r="A18" s="113" t="s">
        <v>155</v>
      </c>
      <c r="B18" s="161" t="s">
        <v>175</v>
      </c>
      <c r="C18" s="955">
        <f t="shared" si="0"/>
        <v>0</v>
      </c>
      <c r="D18" s="219"/>
    </row>
    <row r="19" spans="1:4" s="114" customFormat="1" ht="23.25" customHeight="1">
      <c r="A19" s="841" t="s">
        <v>618</v>
      </c>
      <c r="B19" s="842" t="s">
        <v>619</v>
      </c>
      <c r="C19" s="958">
        <f t="shared" si="0"/>
        <v>0</v>
      </c>
      <c r="D19" s="218"/>
    </row>
    <row r="20" spans="1:7" s="5" customFormat="1" ht="23.25" customHeight="1">
      <c r="A20" s="111" t="s">
        <v>405</v>
      </c>
      <c r="B20" s="162" t="s">
        <v>171</v>
      </c>
      <c r="C20" s="955">
        <f t="shared" si="0"/>
        <v>0</v>
      </c>
      <c r="D20" s="218"/>
      <c r="G20" s="843" t="s">
        <v>620</v>
      </c>
    </row>
    <row r="21" spans="1:7" s="114" customFormat="1" ht="23.25" customHeight="1">
      <c r="A21" s="111" t="s">
        <v>406</v>
      </c>
      <c r="B21" s="174" t="s">
        <v>172</v>
      </c>
      <c r="C21" s="956">
        <f t="shared" si="0"/>
        <v>0</v>
      </c>
      <c r="D21" s="218"/>
      <c r="G21" s="844" t="s">
        <v>621</v>
      </c>
    </row>
    <row r="22" spans="1:7" s="114" customFormat="1" ht="23.25" customHeight="1">
      <c r="A22" s="111" t="s">
        <v>113</v>
      </c>
      <c r="B22" s="162" t="s">
        <v>173</v>
      </c>
      <c r="C22" s="955">
        <f t="shared" si="0"/>
        <v>0</v>
      </c>
      <c r="D22" s="218"/>
      <c r="F22" s="845" t="s">
        <v>622</v>
      </c>
      <c r="G22" s="846">
        <v>2</v>
      </c>
    </row>
    <row r="23" spans="1:4" s="114" customFormat="1" ht="23.25" customHeight="1">
      <c r="A23" s="111" t="s">
        <v>407</v>
      </c>
      <c r="B23" s="174" t="s">
        <v>167</v>
      </c>
      <c r="C23" s="956">
        <f t="shared" si="0"/>
        <v>0</v>
      </c>
      <c r="D23" s="218"/>
    </row>
    <row r="24" spans="1:4" s="114" customFormat="1" ht="23.25" customHeight="1">
      <c r="A24" s="863" t="s">
        <v>673</v>
      </c>
      <c r="B24" s="162" t="s">
        <v>169</v>
      </c>
      <c r="C24" s="959">
        <f t="shared" si="0"/>
        <v>0</v>
      </c>
      <c r="D24" s="220"/>
    </row>
    <row r="25" spans="1:4" s="114" customFormat="1" ht="23.25" customHeight="1">
      <c r="A25" s="176" t="s">
        <v>422</v>
      </c>
      <c r="B25" s="161" t="s">
        <v>170</v>
      </c>
      <c r="C25" s="960">
        <f t="shared" si="0"/>
        <v>0</v>
      </c>
      <c r="D25" s="220"/>
    </row>
    <row r="26" spans="1:4" s="114" customFormat="1" ht="23.25" customHeight="1">
      <c r="A26" s="176" t="s">
        <v>423</v>
      </c>
      <c r="B26" s="161" t="s">
        <v>424</v>
      </c>
      <c r="C26" s="960">
        <f t="shared" si="0"/>
        <v>0</v>
      </c>
      <c r="D26" s="220"/>
    </row>
    <row r="27" spans="1:4" s="114" customFormat="1" ht="23.25" customHeight="1">
      <c r="A27" s="707" t="s">
        <v>450</v>
      </c>
      <c r="B27" s="161" t="s">
        <v>410</v>
      </c>
      <c r="C27" s="960">
        <f t="shared" si="0"/>
        <v>0</v>
      </c>
      <c r="D27" s="220"/>
    </row>
    <row r="28" spans="1:4" s="114" customFormat="1" ht="23.25" customHeight="1">
      <c r="A28" s="706" t="s">
        <v>449</v>
      </c>
      <c r="B28" s="162" t="s">
        <v>174</v>
      </c>
      <c r="C28" s="961">
        <f t="shared" si="0"/>
        <v>0</v>
      </c>
      <c r="D28" s="219"/>
    </row>
    <row r="29" spans="1:4" s="114" customFormat="1" ht="23.25" customHeight="1" thickBot="1">
      <c r="A29" s="709" t="s">
        <v>451</v>
      </c>
      <c r="B29" s="163" t="s">
        <v>425</v>
      </c>
      <c r="C29" s="962">
        <f t="shared" si="0"/>
        <v>0</v>
      </c>
      <c r="D29" s="221"/>
    </row>
    <row r="30" spans="1:4" s="114" customFormat="1" ht="15" customHeight="1" thickBot="1">
      <c r="A30" s="1215" t="str">
        <f>IF(G22=1,"ATTENZIONE è stata dichiarata IRAP commerciale. Controllare l'importo inserito!"," ")</f>
        <v> </v>
      </c>
      <c r="B30" s="1215"/>
      <c r="C30" s="1215"/>
      <c r="D30" s="1215"/>
    </row>
    <row r="31" spans="1:4" s="114" customFormat="1" ht="15" customHeight="1">
      <c r="A31" s="1212" t="s">
        <v>604</v>
      </c>
      <c r="B31" s="1213"/>
      <c r="C31" s="1213"/>
      <c r="D31" s="1214"/>
    </row>
    <row r="32" spans="1:8" s="114" customFormat="1" ht="94.5" customHeight="1" thickBot="1">
      <c r="A32" s="1209"/>
      <c r="B32" s="1210"/>
      <c r="C32" s="1210"/>
      <c r="D32" s="1211"/>
      <c r="E32" s="1216">
        <f>IF(AND(A32="",(D25+D26)&gt;0),"ATTENZIONE!  Inserire nel campo NOTE l'elenco delle Istituzioni ed il relativo importo dei rimborsi EFFETTUATI!",IF(AND(A32&lt;&gt;"",(D25+D26)=0),"ATTENZIONE!  il campo NOTE non deve essere compilato in assenza di rimborsi",""))</f>
      </c>
      <c r="F32" s="1217"/>
      <c r="G32" s="1217"/>
      <c r="H32" s="1217"/>
    </row>
    <row r="33" spans="1:4" s="114" customFormat="1" ht="15" customHeight="1" thickBot="1">
      <c r="A33" s="1215"/>
      <c r="B33" s="1215"/>
      <c r="C33" s="1215"/>
      <c r="D33" s="1215"/>
    </row>
    <row r="34" spans="1:4" s="114" customFormat="1" ht="15" customHeight="1">
      <c r="A34" s="1212" t="s">
        <v>605</v>
      </c>
      <c r="B34" s="1213"/>
      <c r="C34" s="1213"/>
      <c r="D34" s="1214"/>
    </row>
    <row r="35" spans="1:8" s="114" customFormat="1" ht="94.5" customHeight="1" thickBot="1">
      <c r="A35" s="1209"/>
      <c r="B35" s="1210"/>
      <c r="C35" s="1210"/>
      <c r="D35" s="1211"/>
      <c r="E35" s="1216">
        <f>IF(AND(A35="",(D27+D28+D29)&gt;0),"ATTENZIONE!  Inserire nel campo NOTE l'elenco delle Istituzioni ed il relativo importo dei rimborsi RICEVUTI!",IF(AND(A35&lt;&gt;"",(D27+D28+D29)=0),"ATTENZIONE!  il campo NOTE non deve essere compilato in assenza di rimborsi",""))</f>
      </c>
      <c r="F35" s="1217"/>
      <c r="G35" s="1217"/>
      <c r="H35" s="1217"/>
    </row>
    <row r="36" spans="1:3" s="114" customFormat="1" ht="23.25" customHeight="1">
      <c r="A36" s="5" t="s">
        <v>452</v>
      </c>
      <c r="B36"/>
      <c r="C36"/>
    </row>
    <row r="37" spans="1:4" ht="25.5" customHeight="1">
      <c r="A37" s="1218" t="s">
        <v>606</v>
      </c>
      <c r="B37" s="1218"/>
      <c r="C37" s="1218"/>
      <c r="D37" s="1218"/>
    </row>
    <row r="38" spans="1:4" ht="25.5" customHeight="1">
      <c r="A38" s="1218" t="s">
        <v>607</v>
      </c>
      <c r="B38" s="1218"/>
      <c r="C38" s="1218"/>
      <c r="D38" s="1218"/>
    </row>
    <row r="53" ht="10.5">
      <c r="A53" s="708"/>
    </row>
  </sheetData>
  <sheetProtection password="EA98" sheet="1" formatColumns="0" selectLockedCells="1"/>
  <mergeCells count="12">
    <mergeCell ref="E32:H32"/>
    <mergeCell ref="A33:D33"/>
    <mergeCell ref="A35:D35"/>
    <mergeCell ref="E35:H35"/>
    <mergeCell ref="A37:D37"/>
    <mergeCell ref="A38:D38"/>
    <mergeCell ref="B2:D2"/>
    <mergeCell ref="A32:D32"/>
    <mergeCell ref="A31:D31"/>
    <mergeCell ref="A34:D34"/>
    <mergeCell ref="A1:D1"/>
    <mergeCell ref="A30:D30"/>
  </mergeCells>
  <dataValidations count="4">
    <dataValidation type="textLength" allowBlank="1" showInputMessage="1" showErrorMessage="1" errorTitle="ATTENZIONE ! ! ! " error="E' stato superato il limite di 1000 caratteri" sqref="A32:D32 A35:D35">
      <formula1>0</formula1>
      <formula2>1000</formula2>
    </dataValidation>
    <dataValidation type="whole" allowBlank="1" showInputMessage="1" showErrorMessage="1" errorTitle="ERRORE NEL DATO IMMESSO" error="INSERIRE SOLO NUMERI INTERI" sqref="D4:D24">
      <formula1>1</formula1>
      <formula2>999999999999</formula2>
    </dataValidation>
    <dataValidation type="whole" allowBlank="1" showInputMessage="1" showErrorMessage="1" promptTitle="ATTENZIONE" prompt="Inserire nel campo NOTE sottostante il nome delle Istituzioni da cui si ricevono i rimborsi ed i relativi importi" errorTitle="ERRORE NEL DATO IMMESSO" error="INSERIRE SOLO NUMERI INTERI" sqref="D27:D29">
      <formula1>1</formula1>
      <formula2>999999999999</formula2>
    </dataValidation>
    <dataValidation type="whole" allowBlank="1" showInputMessage="1" showErrorMessage="1" promptTitle="ATTENZIONE" prompt="Inserire nel campo NOTE sottostante il nome delle Istituzioni che ricevono i rimborsi ed i relativi importi" errorTitle="ERRORE NEL DATO IMMESSO" error="INSERIRE SOLO NUMERI INTERI" sqref="D25:D26">
      <formula1>1</formula1>
      <formula2>999999999999</formula2>
    </dataValidation>
  </dataValidations>
  <printOptions horizontalCentered="1" verticalCentered="1"/>
  <pageMargins left="0" right="0" top="0.1968503937007874" bottom="0.15748031496062992" header="0.1968503937007874" footer="0.1968503937007874"/>
  <pageSetup horizontalDpi="300" verticalDpi="300" orientation="portrait" paperSize="9" scale="85" r:id="rId3"/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32"/>
  <dimension ref="A1:W35"/>
  <sheetViews>
    <sheetView showGridLines="0" zoomScale="75" zoomScaleNormal="75" zoomScalePageLayoutView="0" workbookViewId="0" topLeftCell="A1">
      <selection activeCell="C7" sqref="C7"/>
    </sheetView>
  </sheetViews>
  <sheetFormatPr defaultColWidth="9.33203125" defaultRowHeight="10.5"/>
  <cols>
    <col min="1" max="1" width="63.83203125" style="378" customWidth="1"/>
    <col min="2" max="2" width="8.83203125" style="379" customWidth="1"/>
    <col min="3" max="3" width="20.83203125" style="378" customWidth="1"/>
    <col min="4" max="4" width="2.83203125" style="378" customWidth="1"/>
    <col min="5" max="5" width="63.83203125" style="378" customWidth="1"/>
    <col min="6" max="6" width="8.83203125" style="378" customWidth="1"/>
    <col min="7" max="7" width="20.83203125" style="378" customWidth="1"/>
    <col min="8" max="8" width="30.83203125" style="378" customWidth="1"/>
    <col min="9" max="14" width="8.33203125" style="378" customWidth="1"/>
    <col min="15" max="18" width="0" style="378" hidden="1" customWidth="1"/>
    <col min="19" max="19" width="3.33203125" style="378" hidden="1" customWidth="1"/>
    <col min="20" max="23" width="0" style="378" hidden="1" customWidth="1"/>
    <col min="24" max="16384" width="9.33203125" style="378" customWidth="1"/>
  </cols>
  <sheetData>
    <row r="1" spans="1:13" s="377" customFormat="1" ht="43.5" customHeight="1">
      <c r="A1" s="969" t="str">
        <f>'t1'!$A$1</f>
        <v>COMPARTO AFAM - anno 2016</v>
      </c>
      <c r="B1" s="969"/>
      <c r="C1" s="969"/>
      <c r="D1" s="969"/>
      <c r="E1" s="969"/>
      <c r="F1" s="969"/>
      <c r="G1" s="969"/>
      <c r="H1" s="417" t="s">
        <v>317</v>
      </c>
      <c r="I1" s="376"/>
      <c r="J1" s="376"/>
      <c r="K1" s="376"/>
      <c r="M1" s="378"/>
    </row>
    <row r="2" spans="1:12" ht="42" customHeight="1" thickBot="1">
      <c r="A2" s="1008"/>
      <c r="B2" s="1008"/>
      <c r="C2" s="1008"/>
      <c r="D2" s="1008"/>
      <c r="E2" s="1009"/>
      <c r="F2" s="1009"/>
      <c r="G2" s="1009"/>
      <c r="H2" s="380"/>
      <c r="I2" s="380"/>
      <c r="J2" s="380"/>
      <c r="K2" s="380"/>
      <c r="L2" s="380"/>
    </row>
    <row r="3" spans="1:23" s="1017" customFormat="1" ht="25.5" customHeight="1" thickBot="1">
      <c r="A3" s="1010" t="s">
        <v>15</v>
      </c>
      <c r="B3" s="1011"/>
      <c r="C3" s="1012"/>
      <c r="D3" s="1013"/>
      <c r="E3" s="1010" t="s">
        <v>16</v>
      </c>
      <c r="F3" s="1014"/>
      <c r="G3" s="1015"/>
      <c r="H3" s="1016" t="s">
        <v>737</v>
      </c>
      <c r="O3" s="1018"/>
      <c r="P3" s="1018"/>
      <c r="Q3" s="1019"/>
      <c r="R3" s="1020"/>
      <c r="S3" s="1020"/>
      <c r="T3" s="1018"/>
      <c r="U3" s="1018"/>
      <c r="V3" s="1019"/>
      <c r="W3" s="1020"/>
    </row>
    <row r="4" spans="1:17" ht="18" customHeight="1">
      <c r="A4" s="1021" t="s">
        <v>137</v>
      </c>
      <c r="B4" s="187" t="s">
        <v>138</v>
      </c>
      <c r="C4" s="326" t="s">
        <v>256</v>
      </c>
      <c r="D4" s="1022"/>
      <c r="E4" s="1021" t="s">
        <v>137</v>
      </c>
      <c r="F4" s="138" t="s">
        <v>138</v>
      </c>
      <c r="G4" s="881" t="s">
        <v>256</v>
      </c>
      <c r="H4" s="1219" t="s">
        <v>738</v>
      </c>
      <c r="I4" s="1023"/>
      <c r="J4" s="1023"/>
      <c r="K4" s="1023"/>
      <c r="L4" s="1023"/>
      <c r="M4" s="381"/>
      <c r="N4" s="381"/>
      <c r="O4" s="381"/>
      <c r="P4" s="381"/>
      <c r="Q4" s="381"/>
    </row>
    <row r="5" spans="1:23" ht="15" customHeight="1">
      <c r="A5" s="1024" t="s">
        <v>739</v>
      </c>
      <c r="B5" s="1025"/>
      <c r="C5" s="1026"/>
      <c r="D5" s="1022"/>
      <c r="E5" s="1024" t="s">
        <v>739</v>
      </c>
      <c r="F5" s="1025"/>
      <c r="G5" s="1026"/>
      <c r="H5" s="1220"/>
      <c r="I5" s="851"/>
      <c r="J5" s="851"/>
      <c r="O5" s="1027" t="s">
        <v>740</v>
      </c>
      <c r="P5" s="1028"/>
      <c r="Q5" s="1029"/>
      <c r="R5" s="1029"/>
      <c r="S5" s="1020"/>
      <c r="T5" s="1027" t="s">
        <v>741</v>
      </c>
      <c r="U5" s="1028"/>
      <c r="V5" s="1029"/>
      <c r="W5" s="1029"/>
    </row>
    <row r="6" spans="1:23" ht="15" customHeight="1">
      <c r="A6" s="1030" t="s">
        <v>742</v>
      </c>
      <c r="B6" s="1031"/>
      <c r="C6" s="1032"/>
      <c r="D6" s="1022"/>
      <c r="E6" s="1030" t="s">
        <v>743</v>
      </c>
      <c r="F6" s="1031"/>
      <c r="G6" s="1032"/>
      <c r="H6" s="1220"/>
      <c r="I6" s="851"/>
      <c r="J6" s="851"/>
      <c r="O6" s="1033" t="s">
        <v>744</v>
      </c>
      <c r="P6" s="1033" t="s">
        <v>745</v>
      </c>
      <c r="Q6" s="1033" t="s">
        <v>746</v>
      </c>
      <c r="R6" s="1033" t="s">
        <v>747</v>
      </c>
      <c r="S6" s="1020"/>
      <c r="T6" s="1033" t="s">
        <v>744</v>
      </c>
      <c r="U6" s="1033" t="s">
        <v>745</v>
      </c>
      <c r="V6" s="1033" t="s">
        <v>746</v>
      </c>
      <c r="W6" s="1033" t="s">
        <v>747</v>
      </c>
    </row>
    <row r="7" spans="1:23" ht="15" customHeight="1">
      <c r="A7" s="155" t="s">
        <v>638</v>
      </c>
      <c r="B7" s="138" t="s">
        <v>532</v>
      </c>
      <c r="C7" s="300"/>
      <c r="D7" s="1034"/>
      <c r="E7" s="155" t="s">
        <v>653</v>
      </c>
      <c r="F7" s="138" t="s">
        <v>547</v>
      </c>
      <c r="G7" s="301"/>
      <c r="H7" s="1220"/>
      <c r="I7" s="851"/>
      <c r="J7" s="851"/>
      <c r="O7" s="857">
        <v>44</v>
      </c>
      <c r="P7" s="857">
        <v>7</v>
      </c>
      <c r="Q7" s="857" t="str">
        <f aca="true" t="shared" si="0" ref="Q7:Q18">B7</f>
        <v>F69F</v>
      </c>
      <c r="R7" s="857">
        <f>IF(ISNUMBER(C7),ROUND(C7,0),"")</f>
      </c>
      <c r="S7" s="1035"/>
      <c r="T7" s="857">
        <v>44</v>
      </c>
      <c r="U7" s="857">
        <v>41</v>
      </c>
      <c r="V7" s="857" t="str">
        <f>F7</f>
        <v>U508</v>
      </c>
      <c r="W7" s="857">
        <f>IF(ISNUMBER(G7),ROUND(G7,0),"")</f>
      </c>
    </row>
    <row r="8" spans="1:23" ht="15" customHeight="1">
      <c r="A8" s="155" t="s">
        <v>639</v>
      </c>
      <c r="B8" s="138" t="s">
        <v>533</v>
      </c>
      <c r="C8" s="300"/>
      <c r="D8" s="1034"/>
      <c r="E8" s="155" t="s">
        <v>654</v>
      </c>
      <c r="F8" s="138" t="s">
        <v>548</v>
      </c>
      <c r="G8" s="681"/>
      <c r="H8" s="1220"/>
      <c r="I8" s="851"/>
      <c r="J8" s="851"/>
      <c r="O8" s="857">
        <v>44</v>
      </c>
      <c r="P8" s="857">
        <v>7</v>
      </c>
      <c r="Q8" s="857" t="str">
        <f t="shared" si="0"/>
        <v>F70F</v>
      </c>
      <c r="R8" s="857">
        <f aca="true" t="shared" si="1" ref="R8:R18">IF(ISNUMBER(C8),ROUND(C8,0),"")</f>
      </c>
      <c r="S8" s="1035"/>
      <c r="T8" s="857">
        <v>44</v>
      </c>
      <c r="U8" s="857">
        <v>41</v>
      </c>
      <c r="V8" s="857" t="str">
        <f>F8</f>
        <v>U509</v>
      </c>
      <c r="W8" s="857">
        <f>IF(ISNUMBER(G8),ROUND(G8,0),"")</f>
      </c>
    </row>
    <row r="9" spans="1:23" ht="15" customHeight="1" thickBot="1">
      <c r="A9" s="155" t="s">
        <v>640</v>
      </c>
      <c r="B9" s="138" t="s">
        <v>534</v>
      </c>
      <c r="C9" s="300"/>
      <c r="D9" s="1034"/>
      <c r="E9" s="155" t="s">
        <v>655</v>
      </c>
      <c r="F9" s="138" t="s">
        <v>549</v>
      </c>
      <c r="G9" s="678"/>
      <c r="H9" s="1221"/>
      <c r="I9" s="851"/>
      <c r="J9" s="851"/>
      <c r="O9" s="857">
        <v>44</v>
      </c>
      <c r="P9" s="857">
        <v>7</v>
      </c>
      <c r="Q9" s="857" t="str">
        <f t="shared" si="0"/>
        <v>F71F</v>
      </c>
      <c r="R9" s="857">
        <f t="shared" si="1"/>
      </c>
      <c r="S9" s="1035"/>
      <c r="T9" s="857">
        <v>44</v>
      </c>
      <c r="U9" s="857">
        <v>41</v>
      </c>
      <c r="V9" s="857" t="str">
        <f>F9</f>
        <v>U449</v>
      </c>
      <c r="W9" s="857">
        <f>IF(ISNUMBER(G9),ROUND(G9,0),"")</f>
      </c>
    </row>
    <row r="10" spans="1:23" ht="15" customHeight="1" thickBot="1">
      <c r="A10" s="155" t="s">
        <v>641</v>
      </c>
      <c r="B10" s="138" t="s">
        <v>535</v>
      </c>
      <c r="C10" s="300"/>
      <c r="D10" s="1034"/>
      <c r="E10" s="693" t="s">
        <v>696</v>
      </c>
      <c r="F10" s="764"/>
      <c r="G10" s="679">
        <f>SUM(G7:G9)</f>
        <v>0</v>
      </c>
      <c r="H10" s="1036" t="s">
        <v>748</v>
      </c>
      <c r="I10" s="851"/>
      <c r="J10" s="851"/>
      <c r="O10" s="857">
        <v>44</v>
      </c>
      <c r="P10" s="857">
        <v>7</v>
      </c>
      <c r="Q10" s="857" t="str">
        <f t="shared" si="0"/>
        <v>F72F</v>
      </c>
      <c r="R10" s="857">
        <f t="shared" si="1"/>
      </c>
      <c r="S10" s="1035"/>
      <c r="T10" s="1037"/>
      <c r="U10" s="1037"/>
      <c r="V10" s="382"/>
      <c r="W10" s="382"/>
    </row>
    <row r="11" spans="1:23" ht="15" customHeight="1">
      <c r="A11" s="155" t="s">
        <v>642</v>
      </c>
      <c r="B11" s="138" t="s">
        <v>536</v>
      </c>
      <c r="C11" s="300"/>
      <c r="D11" s="1034"/>
      <c r="E11" s="1038" t="s">
        <v>697</v>
      </c>
      <c r="F11" s="1039"/>
      <c r="G11" s="1040"/>
      <c r="H11" s="1222" t="str">
        <f>IF(OR(AND(C32=0,G32=0),ROUND(C32,0)&lt;&gt;ROUND(G32,0)),"OK","Attenzione: le risorse del fondo coincidono esattamente con i relativi impeghi, è necessario giustificare")</f>
        <v>OK</v>
      </c>
      <c r="I11" s="851"/>
      <c r="J11" s="851"/>
      <c r="O11" s="857">
        <v>44</v>
      </c>
      <c r="P11" s="857">
        <v>7</v>
      </c>
      <c r="Q11" s="857" t="str">
        <f t="shared" si="0"/>
        <v>F73F</v>
      </c>
      <c r="R11" s="857">
        <f t="shared" si="1"/>
      </c>
      <c r="S11" s="1035"/>
      <c r="T11" s="1041"/>
      <c r="U11" s="1041"/>
      <c r="V11" s="382"/>
      <c r="W11" s="382"/>
    </row>
    <row r="12" spans="1:23" ht="15" customHeight="1">
      <c r="A12" s="155" t="s">
        <v>643</v>
      </c>
      <c r="B12" s="138" t="s">
        <v>537</v>
      </c>
      <c r="C12" s="300"/>
      <c r="D12" s="1034"/>
      <c r="E12" s="155" t="s">
        <v>698</v>
      </c>
      <c r="F12" s="138" t="s">
        <v>699</v>
      </c>
      <c r="G12" s="301"/>
      <c r="H12" s="1223"/>
      <c r="I12" s="851"/>
      <c r="J12" s="851"/>
      <c r="O12" s="857">
        <v>44</v>
      </c>
      <c r="P12" s="857">
        <v>7</v>
      </c>
      <c r="Q12" s="857" t="str">
        <f t="shared" si="0"/>
        <v>F74F</v>
      </c>
      <c r="R12" s="857">
        <f t="shared" si="1"/>
      </c>
      <c r="S12" s="1035"/>
      <c r="T12" s="857">
        <v>44</v>
      </c>
      <c r="U12" s="857">
        <v>42</v>
      </c>
      <c r="V12" s="857" t="str">
        <f>F12</f>
        <v>U03I</v>
      </c>
      <c r="W12" s="857">
        <f>IF(ISNUMBER(G12),ROUND(G12,0),"")</f>
      </c>
    </row>
    <row r="13" spans="1:23" ht="15" customHeight="1" thickBot="1">
      <c r="A13" s="155" t="s">
        <v>644</v>
      </c>
      <c r="B13" s="138" t="s">
        <v>538</v>
      </c>
      <c r="C13" s="760"/>
      <c r="D13" s="1034"/>
      <c r="E13" s="693" t="s">
        <v>700</v>
      </c>
      <c r="F13" s="971"/>
      <c r="G13" s="679">
        <f>G12</f>
        <v>0</v>
      </c>
      <c r="H13" s="1223"/>
      <c r="I13" s="851"/>
      <c r="J13" s="851"/>
      <c r="O13" s="857">
        <v>44</v>
      </c>
      <c r="P13" s="857">
        <v>7</v>
      </c>
      <c r="Q13" s="857" t="str">
        <f t="shared" si="0"/>
        <v>F75F</v>
      </c>
      <c r="R13" s="857">
        <f t="shared" si="1"/>
      </c>
      <c r="S13" s="1035"/>
      <c r="T13" s="857" t="s">
        <v>590</v>
      </c>
      <c r="U13" s="1035"/>
      <c r="V13" s="382"/>
      <c r="W13" s="382"/>
    </row>
    <row r="14" spans="1:23" ht="15" customHeight="1" thickBot="1">
      <c r="A14" s="155" t="s">
        <v>645</v>
      </c>
      <c r="B14" s="138" t="s">
        <v>539</v>
      </c>
      <c r="C14" s="760"/>
      <c r="D14" s="1042"/>
      <c r="E14" s="850" t="s">
        <v>628</v>
      </c>
      <c r="F14" s="847"/>
      <c r="G14" s="848">
        <f>G10+G13</f>
        <v>0</v>
      </c>
      <c r="H14" s="1223"/>
      <c r="I14" s="851"/>
      <c r="J14" s="851"/>
      <c r="O14" s="857">
        <v>44</v>
      </c>
      <c r="P14" s="857">
        <v>7</v>
      </c>
      <c r="Q14" s="857" t="str">
        <f t="shared" si="0"/>
        <v>F998</v>
      </c>
      <c r="R14" s="857">
        <f t="shared" si="1"/>
      </c>
      <c r="S14" s="1035"/>
      <c r="T14" s="1035"/>
      <c r="U14" s="1035"/>
      <c r="V14" s="382"/>
      <c r="W14" s="382"/>
    </row>
    <row r="15" spans="1:23" ht="15" customHeight="1">
      <c r="A15" s="1043" t="s">
        <v>749</v>
      </c>
      <c r="B15" s="138" t="s">
        <v>701</v>
      </c>
      <c r="C15" s="760"/>
      <c r="D15" s="1042"/>
      <c r="E15" s="972"/>
      <c r="F15" s="973"/>
      <c r="G15" s="974"/>
      <c r="H15" s="1223"/>
      <c r="I15" s="851"/>
      <c r="J15" s="851"/>
      <c r="O15" s="857">
        <v>44</v>
      </c>
      <c r="P15" s="857">
        <v>7</v>
      </c>
      <c r="Q15" s="857" t="str">
        <f t="shared" si="0"/>
        <v>F27I</v>
      </c>
      <c r="R15" s="857">
        <f t="shared" si="1"/>
      </c>
      <c r="S15" s="1035"/>
      <c r="T15" s="1035"/>
      <c r="U15" s="1035"/>
      <c r="V15" s="382"/>
      <c r="W15" s="382"/>
    </row>
    <row r="16" spans="1:23" ht="15" customHeight="1" thickBot="1">
      <c r="A16" s="1043" t="s">
        <v>750</v>
      </c>
      <c r="B16" s="1044" t="s">
        <v>751</v>
      </c>
      <c r="C16" s="760"/>
      <c r="D16" s="1042"/>
      <c r="E16" s="972"/>
      <c r="F16" s="973"/>
      <c r="G16" s="974"/>
      <c r="H16" s="1224"/>
      <c r="I16" s="851"/>
      <c r="J16" s="851"/>
      <c r="O16" s="857">
        <v>44</v>
      </c>
      <c r="P16" s="857">
        <v>7</v>
      </c>
      <c r="Q16" s="857" t="str">
        <f t="shared" si="0"/>
        <v>F00G</v>
      </c>
      <c r="R16" s="857">
        <f t="shared" si="1"/>
      </c>
      <c r="S16" s="1035"/>
      <c r="T16" s="1035"/>
      <c r="U16" s="1035"/>
      <c r="V16" s="382"/>
      <c r="W16" s="382"/>
    </row>
    <row r="17" spans="1:23" ht="15" customHeight="1">
      <c r="A17" s="1043" t="s">
        <v>752</v>
      </c>
      <c r="B17" s="1044" t="s">
        <v>753</v>
      </c>
      <c r="C17" s="760"/>
      <c r="D17" s="1042"/>
      <c r="E17" s="972"/>
      <c r="F17" s="973"/>
      <c r="G17" s="974"/>
      <c r="H17" s="1045"/>
      <c r="I17" s="851"/>
      <c r="J17" s="851"/>
      <c r="O17" s="857">
        <v>44</v>
      </c>
      <c r="P17" s="857">
        <v>7</v>
      </c>
      <c r="Q17" s="857" t="str">
        <f t="shared" si="0"/>
        <v>F00H</v>
      </c>
      <c r="R17" s="857">
        <f t="shared" si="1"/>
      </c>
      <c r="S17" s="1035"/>
      <c r="T17" s="1035"/>
      <c r="U17" s="1035"/>
      <c r="V17" s="382"/>
      <c r="W17" s="382"/>
    </row>
    <row r="18" spans="1:23" ht="15" customHeight="1">
      <c r="A18" s="155" t="s">
        <v>646</v>
      </c>
      <c r="B18" s="138" t="s">
        <v>540</v>
      </c>
      <c r="C18" s="760"/>
      <c r="D18" s="1034"/>
      <c r="E18" s="972"/>
      <c r="F18" s="975"/>
      <c r="G18" s="974"/>
      <c r="H18" s="1045"/>
      <c r="I18" s="851"/>
      <c r="J18" s="851"/>
      <c r="O18" s="857">
        <v>44</v>
      </c>
      <c r="P18" s="857">
        <v>7</v>
      </c>
      <c r="Q18" s="857" t="str">
        <f t="shared" si="0"/>
        <v>F86H</v>
      </c>
      <c r="R18" s="857">
        <f t="shared" si="1"/>
      </c>
      <c r="S18" s="1035"/>
      <c r="T18" s="1035"/>
      <c r="U18" s="1035"/>
      <c r="V18" s="382"/>
      <c r="W18" s="382"/>
    </row>
    <row r="19" spans="1:23" ht="15" customHeight="1" thickBot="1">
      <c r="A19" s="693" t="s">
        <v>388</v>
      </c>
      <c r="B19" s="680"/>
      <c r="C19" s="679">
        <f>SUM(C7:C14)-SUM(C15:C18)</f>
        <v>0</v>
      </c>
      <c r="D19" s="1034"/>
      <c r="E19" s="972"/>
      <c r="F19" s="975"/>
      <c r="G19" s="974"/>
      <c r="H19" s="1046"/>
      <c r="I19" s="1047"/>
      <c r="J19" s="1047"/>
      <c r="O19" s="1037"/>
      <c r="P19" s="1037"/>
      <c r="Q19" s="1035"/>
      <c r="R19" s="1035"/>
      <c r="S19" s="1035"/>
      <c r="T19" s="1035"/>
      <c r="U19" s="1035"/>
      <c r="V19" s="382"/>
      <c r="W19" s="382"/>
    </row>
    <row r="20" spans="1:23" ht="15" customHeight="1">
      <c r="A20" s="1038" t="s">
        <v>389</v>
      </c>
      <c r="B20" s="1039"/>
      <c r="C20" s="1040"/>
      <c r="D20" s="1034"/>
      <c r="E20" s="972"/>
      <c r="F20" s="975"/>
      <c r="G20" s="974"/>
      <c r="H20" s="1046"/>
      <c r="I20" s="1047"/>
      <c r="J20" s="1047"/>
      <c r="O20" s="1041"/>
      <c r="P20" s="1041"/>
      <c r="Q20" s="1035"/>
      <c r="R20" s="1035"/>
      <c r="S20" s="1035"/>
      <c r="T20" s="1035"/>
      <c r="U20" s="1035"/>
      <c r="V20" s="382"/>
      <c r="W20" s="382"/>
    </row>
    <row r="21" spans="1:23" ht="15" customHeight="1">
      <c r="A21" s="155" t="s">
        <v>647</v>
      </c>
      <c r="B21" s="187" t="s">
        <v>541</v>
      </c>
      <c r="C21" s="760"/>
      <c r="D21" s="1034"/>
      <c r="E21" s="972"/>
      <c r="F21" s="975"/>
      <c r="G21" s="974"/>
      <c r="H21" s="1048"/>
      <c r="I21" s="1023"/>
      <c r="J21" s="1023"/>
      <c r="O21" s="857">
        <v>44</v>
      </c>
      <c r="P21" s="857">
        <v>9</v>
      </c>
      <c r="Q21" s="857" t="str">
        <f aca="true" t="shared" si="2" ref="Q21:Q29">B21</f>
        <v>F50H</v>
      </c>
      <c r="R21" s="857">
        <f aca="true" t="shared" si="3" ref="R21:R29">IF(ISNUMBER(C21),ROUND(C21,0),"")</f>
      </c>
      <c r="S21" s="382"/>
      <c r="T21" s="382"/>
      <c r="U21" s="382"/>
      <c r="V21" s="382"/>
      <c r="W21" s="382"/>
    </row>
    <row r="22" spans="1:23" ht="15" customHeight="1">
      <c r="A22" s="155" t="s">
        <v>648</v>
      </c>
      <c r="B22" s="187" t="s">
        <v>542</v>
      </c>
      <c r="C22" s="760"/>
      <c r="D22" s="1034"/>
      <c r="E22" s="972"/>
      <c r="F22" s="975"/>
      <c r="G22" s="974"/>
      <c r="H22" s="1048"/>
      <c r="I22" s="1023"/>
      <c r="J22" s="1023"/>
      <c r="O22" s="857">
        <v>44</v>
      </c>
      <c r="P22" s="857">
        <v>9</v>
      </c>
      <c r="Q22" s="857" t="str">
        <f t="shared" si="2"/>
        <v>F51H</v>
      </c>
      <c r="R22" s="857">
        <f t="shared" si="3"/>
      </c>
      <c r="S22" s="382"/>
      <c r="T22" s="382"/>
      <c r="U22" s="382"/>
      <c r="V22" s="382"/>
      <c r="W22" s="382"/>
    </row>
    <row r="23" spans="1:23" ht="15" customHeight="1">
      <c r="A23" s="155" t="s">
        <v>649</v>
      </c>
      <c r="B23" s="187" t="s">
        <v>543</v>
      </c>
      <c r="C23" s="760"/>
      <c r="D23" s="1034"/>
      <c r="E23" s="972"/>
      <c r="F23" s="975"/>
      <c r="G23" s="974"/>
      <c r="H23" s="1048"/>
      <c r="I23" s="1023"/>
      <c r="J23" s="1023"/>
      <c r="O23" s="857">
        <v>44</v>
      </c>
      <c r="P23" s="857">
        <v>9</v>
      </c>
      <c r="Q23" s="857" t="str">
        <f t="shared" si="2"/>
        <v>F76F</v>
      </c>
      <c r="R23" s="857">
        <f t="shared" si="3"/>
      </c>
      <c r="S23" s="382"/>
      <c r="T23" s="382"/>
      <c r="U23" s="382"/>
      <c r="V23" s="382"/>
      <c r="W23" s="382"/>
    </row>
    <row r="24" spans="1:23" ht="15" customHeight="1">
      <c r="A24" s="155" t="s">
        <v>630</v>
      </c>
      <c r="B24" s="187" t="s">
        <v>629</v>
      </c>
      <c r="C24" s="760"/>
      <c r="D24" s="1034"/>
      <c r="E24" s="972"/>
      <c r="F24" s="975"/>
      <c r="G24" s="974"/>
      <c r="H24" s="1048"/>
      <c r="I24" s="1023"/>
      <c r="J24" s="1023"/>
      <c r="O24" s="857">
        <v>44</v>
      </c>
      <c r="P24" s="857">
        <v>9</v>
      </c>
      <c r="Q24" s="857" t="str">
        <f t="shared" si="2"/>
        <v>F96H</v>
      </c>
      <c r="R24" s="857">
        <f t="shared" si="3"/>
      </c>
      <c r="S24" s="382"/>
      <c r="T24" s="382"/>
      <c r="U24" s="382"/>
      <c r="V24" s="382"/>
      <c r="W24" s="382"/>
    </row>
    <row r="25" spans="1:23" ht="15" customHeight="1">
      <c r="A25" s="155" t="s">
        <v>650</v>
      </c>
      <c r="B25" s="187" t="s">
        <v>544</v>
      </c>
      <c r="C25" s="760"/>
      <c r="D25" s="1034"/>
      <c r="E25" s="972"/>
      <c r="F25" s="975"/>
      <c r="G25" s="974"/>
      <c r="H25" s="1048"/>
      <c r="I25" s="1023"/>
      <c r="J25" s="1023"/>
      <c r="O25" s="857">
        <v>44</v>
      </c>
      <c r="P25" s="857">
        <v>9</v>
      </c>
      <c r="Q25" s="857" t="str">
        <f t="shared" si="2"/>
        <v>F995</v>
      </c>
      <c r="R25" s="857">
        <f t="shared" si="3"/>
      </c>
      <c r="S25" s="382"/>
      <c r="T25" s="382"/>
      <c r="U25" s="382"/>
      <c r="V25" s="382"/>
      <c r="W25" s="382"/>
    </row>
    <row r="26" spans="1:23" ht="15" customHeight="1">
      <c r="A26" s="155" t="s">
        <v>651</v>
      </c>
      <c r="B26" s="187" t="s">
        <v>545</v>
      </c>
      <c r="C26" s="760"/>
      <c r="D26" s="1034"/>
      <c r="E26" s="972"/>
      <c r="F26" s="975"/>
      <c r="G26" s="974"/>
      <c r="H26" s="1048"/>
      <c r="I26" s="1023"/>
      <c r="J26" s="1023"/>
      <c r="O26" s="857">
        <v>44</v>
      </c>
      <c r="P26" s="857">
        <v>9</v>
      </c>
      <c r="Q26" s="857" t="str">
        <f t="shared" si="2"/>
        <v>F999</v>
      </c>
      <c r="R26" s="857">
        <f t="shared" si="3"/>
      </c>
      <c r="S26" s="382"/>
      <c r="T26" s="382"/>
      <c r="U26" s="382"/>
      <c r="V26" s="382"/>
      <c r="W26" s="382"/>
    </row>
    <row r="27" spans="1:23" ht="15" customHeight="1">
      <c r="A27" s="1049" t="s">
        <v>754</v>
      </c>
      <c r="B27" s="1044" t="s">
        <v>755</v>
      </c>
      <c r="C27" s="760"/>
      <c r="D27" s="1034"/>
      <c r="E27" s="972"/>
      <c r="F27" s="975"/>
      <c r="G27" s="974"/>
      <c r="H27" s="1048"/>
      <c r="I27" s="1023"/>
      <c r="J27" s="1023"/>
      <c r="O27" s="857">
        <v>44</v>
      </c>
      <c r="P27" s="857">
        <v>9</v>
      </c>
      <c r="Q27" s="857" t="str">
        <f t="shared" si="2"/>
        <v>F00I</v>
      </c>
      <c r="R27" s="857">
        <f t="shared" si="3"/>
      </c>
      <c r="S27" s="382"/>
      <c r="T27" s="382"/>
      <c r="U27" s="382"/>
      <c r="V27" s="382"/>
      <c r="W27" s="382"/>
    </row>
    <row r="28" spans="1:23" ht="15" customHeight="1">
      <c r="A28" s="1049" t="s">
        <v>756</v>
      </c>
      <c r="B28" s="1044" t="s">
        <v>757</v>
      </c>
      <c r="C28" s="760"/>
      <c r="D28" s="1034"/>
      <c r="E28" s="972"/>
      <c r="F28" s="975"/>
      <c r="G28" s="974"/>
      <c r="H28" s="380"/>
      <c r="I28" s="380"/>
      <c r="J28" s="380"/>
      <c r="O28" s="857">
        <v>44</v>
      </c>
      <c r="P28" s="857">
        <v>9</v>
      </c>
      <c r="Q28" s="857" t="str">
        <f t="shared" si="2"/>
        <v>F00L</v>
      </c>
      <c r="R28" s="857">
        <f t="shared" si="3"/>
      </c>
      <c r="S28" s="382"/>
      <c r="T28" s="382"/>
      <c r="U28" s="382"/>
      <c r="V28" s="382"/>
      <c r="W28" s="382"/>
    </row>
    <row r="29" spans="1:23" ht="15" customHeight="1">
      <c r="A29" s="155" t="s">
        <v>652</v>
      </c>
      <c r="B29" s="187" t="s">
        <v>546</v>
      </c>
      <c r="C29" s="760"/>
      <c r="D29" s="1034"/>
      <c r="E29" s="972"/>
      <c r="F29" s="975"/>
      <c r="G29" s="974"/>
      <c r="H29" s="380"/>
      <c r="I29" s="380"/>
      <c r="J29" s="380"/>
      <c r="O29" s="857">
        <v>44</v>
      </c>
      <c r="P29" s="857">
        <v>9</v>
      </c>
      <c r="Q29" s="857" t="str">
        <f t="shared" si="2"/>
        <v>F91H</v>
      </c>
      <c r="R29" s="857">
        <f t="shared" si="3"/>
      </c>
      <c r="S29" s="382"/>
      <c r="T29" s="382"/>
      <c r="U29" s="382"/>
      <c r="V29" s="382"/>
      <c r="W29" s="382"/>
    </row>
    <row r="30" spans="1:23" ht="15" customHeight="1" thickBot="1">
      <c r="A30" s="693" t="s">
        <v>390</v>
      </c>
      <c r="B30" s="680"/>
      <c r="C30" s="679">
        <f>SUM(C21:C26)-SUM(C27:C29)</f>
        <v>0</v>
      </c>
      <c r="D30" s="1034"/>
      <c r="E30" s="972"/>
      <c r="F30" s="975"/>
      <c r="G30" s="974"/>
      <c r="H30" s="380"/>
      <c r="I30" s="380"/>
      <c r="J30" s="380"/>
      <c r="O30" s="857" t="s">
        <v>590</v>
      </c>
      <c r="P30" s="382"/>
      <c r="Q30" s="382"/>
      <c r="R30" s="382"/>
      <c r="S30" s="382"/>
      <c r="T30" s="382"/>
      <c r="U30" s="382"/>
      <c r="V30" s="382"/>
      <c r="W30" s="382"/>
    </row>
    <row r="31" spans="1:22" ht="15" customHeight="1" thickBot="1">
      <c r="A31" s="850" t="s">
        <v>628</v>
      </c>
      <c r="B31" s="847"/>
      <c r="C31" s="848">
        <f>C19+C30</f>
        <v>0</v>
      </c>
      <c r="D31" s="1034"/>
      <c r="E31" s="976"/>
      <c r="F31" s="977"/>
      <c r="G31" s="978"/>
      <c r="H31" s="380"/>
      <c r="I31" s="380"/>
      <c r="J31" s="380"/>
      <c r="N31" s="382"/>
      <c r="O31" s="382"/>
      <c r="P31" s="382"/>
      <c r="Q31" s="382"/>
      <c r="R31" s="382"/>
      <c r="S31" s="382"/>
      <c r="T31" s="382"/>
      <c r="U31" s="382"/>
      <c r="V31" s="382"/>
    </row>
    <row r="32" spans="1:22" ht="30" customHeight="1" thickBot="1">
      <c r="A32" s="1050" t="s">
        <v>82</v>
      </c>
      <c r="B32" s="1051"/>
      <c r="C32" s="497">
        <f>C31</f>
        <v>0</v>
      </c>
      <c r="D32" s="1034"/>
      <c r="E32" s="1050" t="s">
        <v>82</v>
      </c>
      <c r="F32" s="1052"/>
      <c r="G32" s="497">
        <f>G14</f>
        <v>0</v>
      </c>
      <c r="H32" s="380"/>
      <c r="I32" s="381"/>
      <c r="J32" s="381"/>
      <c r="N32" s="1035"/>
      <c r="O32" s="1035"/>
      <c r="P32" s="382"/>
      <c r="Q32" s="382"/>
      <c r="R32" s="382"/>
      <c r="S32" s="382"/>
      <c r="T32" s="382"/>
      <c r="U32" s="382"/>
      <c r="V32" s="382"/>
    </row>
    <row r="33" spans="1:17" ht="4.5" customHeight="1">
      <c r="A33" s="1053"/>
      <c r="B33" s="762"/>
      <c r="C33" s="1053"/>
      <c r="E33" s="805"/>
      <c r="F33" s="805"/>
      <c r="G33" s="805"/>
      <c r="H33" s="381"/>
      <c r="I33" s="381"/>
      <c r="J33" s="381"/>
      <c r="K33" s="381"/>
      <c r="L33" s="381"/>
      <c r="M33" s="380"/>
      <c r="N33" s="380"/>
      <c r="O33" s="380"/>
      <c r="P33" s="380"/>
      <c r="Q33" s="380"/>
    </row>
    <row r="34" spans="1:17" ht="15" customHeight="1">
      <c r="A34" s="1054" t="s">
        <v>194</v>
      </c>
      <c r="C34" s="805"/>
      <c r="E34" s="805"/>
      <c r="F34" s="805"/>
      <c r="G34" s="805"/>
      <c r="M34" s="380"/>
      <c r="N34" s="380"/>
      <c r="O34" s="380"/>
      <c r="P34" s="380"/>
      <c r="Q34" s="380"/>
    </row>
    <row r="35" spans="1:17" ht="15" customHeight="1">
      <c r="A35" s="1054" t="s">
        <v>409</v>
      </c>
      <c r="C35" s="805"/>
      <c r="E35" s="805"/>
      <c r="F35" s="805"/>
      <c r="G35" s="805"/>
      <c r="M35" s="380"/>
      <c r="N35" s="380"/>
      <c r="O35" s="380"/>
      <c r="P35" s="380"/>
      <c r="Q35" s="380"/>
    </row>
  </sheetData>
  <sheetProtection password="EA98" sheet="1" formatColumns="0" selectLockedCells="1"/>
  <mergeCells count="2">
    <mergeCell ref="H4:H9"/>
    <mergeCell ref="H11:H16"/>
  </mergeCells>
  <dataValidations count="2">
    <dataValidation type="whole" allowBlank="1" showInputMessage="1" showErrorMessage="1" errorTitle="ERRORE NEL DATO IMMESSO" error="INSERIRE SOLO NUMERI INTERI" sqref="C30:C31 G10 C19 G13:G14">
      <formula1>-999999999999</formula1>
      <formula2>999999999999</formula2>
    </dataValidation>
    <dataValidation type="whole" allowBlank="1" showInputMessage="1" showErrorMessage="1" errorTitle="ERRORE NEL DATO IMMESSO" error="INSERIRE SOLO NUMERI INTERI" sqref="G7:G9 G12 C7:C18 C21:C29">
      <formula1>0</formula1>
      <formula2>999999999999</formula2>
    </dataValidation>
  </dataValidations>
  <printOptions horizontalCentered="1" verticalCentered="1"/>
  <pageMargins left="0.3937007874015748" right="0.3937007874015748" top="0.3937007874015748" bottom="0.3937007874015748" header="0.5118110236220472" footer="0.1968503937007874"/>
  <pageSetup horizontalDpi="300" verticalDpi="3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35"/>
  <dimension ref="A1:W65"/>
  <sheetViews>
    <sheetView showGridLines="0" zoomScale="75" zoomScaleNormal="75" zoomScalePageLayoutView="0" workbookViewId="0" topLeftCell="A1">
      <selection activeCell="C7" sqref="C7"/>
    </sheetView>
  </sheetViews>
  <sheetFormatPr defaultColWidth="9.33203125" defaultRowHeight="10.5"/>
  <cols>
    <col min="1" max="1" width="63.83203125" style="378" customWidth="1"/>
    <col min="2" max="2" width="8.83203125" style="379" customWidth="1"/>
    <col min="3" max="3" width="20.83203125" style="378" customWidth="1"/>
    <col min="4" max="4" width="2.83203125" style="378" customWidth="1"/>
    <col min="5" max="5" width="63.83203125" style="378" customWidth="1"/>
    <col min="6" max="6" width="8.83203125" style="378" customWidth="1"/>
    <col min="7" max="7" width="20.83203125" style="378" customWidth="1"/>
    <col min="8" max="8" width="30.83203125" style="378" customWidth="1"/>
    <col min="9" max="14" width="8.33203125" style="378" customWidth="1"/>
    <col min="15" max="18" width="0" style="378" hidden="1" customWidth="1"/>
    <col min="19" max="19" width="3.33203125" style="378" hidden="1" customWidth="1"/>
    <col min="20" max="23" width="0" style="378" hidden="1" customWidth="1"/>
    <col min="24" max="24" width="8.33203125" style="378" customWidth="1"/>
    <col min="25" max="16384" width="9.33203125" style="378" customWidth="1"/>
  </cols>
  <sheetData>
    <row r="1" spans="1:13" s="377" customFormat="1" ht="43.5" customHeight="1">
      <c r="A1" s="969" t="str">
        <f>'t1'!$A$1</f>
        <v>COMPARTO AFAM - anno 2016</v>
      </c>
      <c r="B1" s="969"/>
      <c r="C1" s="969"/>
      <c r="D1" s="969"/>
      <c r="E1" s="969"/>
      <c r="F1" s="969"/>
      <c r="G1" s="969"/>
      <c r="H1" s="417" t="s">
        <v>531</v>
      </c>
      <c r="I1" s="376"/>
      <c r="J1" s="376"/>
      <c r="K1" s="376"/>
      <c r="M1" s="378"/>
    </row>
    <row r="2" spans="1:12" ht="42" customHeight="1" thickBot="1">
      <c r="A2" s="1008"/>
      <c r="B2" s="1008"/>
      <c r="C2" s="1008"/>
      <c r="D2" s="1008"/>
      <c r="E2" s="1009"/>
      <c r="F2" s="1009"/>
      <c r="G2" s="1009"/>
      <c r="H2" s="380"/>
      <c r="I2" s="380"/>
      <c r="J2" s="380"/>
      <c r="K2" s="380"/>
      <c r="L2" s="380"/>
    </row>
    <row r="3" spans="1:23" s="1017" customFormat="1" ht="25.5" customHeight="1" thickBot="1">
      <c r="A3" s="1055" t="s">
        <v>15</v>
      </c>
      <c r="B3" s="1011"/>
      <c r="C3" s="1012"/>
      <c r="D3" s="1013"/>
      <c r="E3" s="1055" t="s">
        <v>16</v>
      </c>
      <c r="F3" s="1014"/>
      <c r="G3" s="1015"/>
      <c r="H3" s="1016" t="s">
        <v>737</v>
      </c>
      <c r="O3" s="1018"/>
      <c r="P3" s="1018"/>
      <c r="Q3" s="1019"/>
      <c r="R3" s="1020"/>
      <c r="S3" s="1020"/>
      <c r="T3" s="1018"/>
      <c r="U3" s="1018"/>
      <c r="V3" s="1019"/>
      <c r="W3" s="1020"/>
    </row>
    <row r="4" spans="1:13" ht="18" customHeight="1" thickBot="1">
      <c r="A4" s="1021" t="s">
        <v>137</v>
      </c>
      <c r="B4" s="187" t="s">
        <v>138</v>
      </c>
      <c r="C4" s="326" t="s">
        <v>256</v>
      </c>
      <c r="D4" s="1022"/>
      <c r="E4" s="1021" t="s">
        <v>137</v>
      </c>
      <c r="F4" s="138" t="s">
        <v>138</v>
      </c>
      <c r="G4" s="1056" t="s">
        <v>256</v>
      </c>
      <c r="H4" s="1219" t="s">
        <v>738</v>
      </c>
      <c r="I4" s="1023"/>
      <c r="J4" s="1023"/>
      <c r="K4" s="1023"/>
      <c r="L4" s="1023"/>
      <c r="M4" s="380"/>
    </row>
    <row r="5" spans="1:23" ht="15" customHeight="1">
      <c r="A5" s="1024" t="s">
        <v>758</v>
      </c>
      <c r="B5" s="1025"/>
      <c r="C5" s="1026"/>
      <c r="D5" s="1057"/>
      <c r="E5" s="1058" t="s">
        <v>758</v>
      </c>
      <c r="F5" s="1059"/>
      <c r="G5" s="1060"/>
      <c r="H5" s="1220"/>
      <c r="I5" s="1023"/>
      <c r="J5" s="1023"/>
      <c r="O5" s="1027" t="s">
        <v>740</v>
      </c>
      <c r="P5" s="1028"/>
      <c r="Q5" s="1029"/>
      <c r="R5" s="1029"/>
      <c r="S5" s="1020"/>
      <c r="T5" s="1027" t="s">
        <v>741</v>
      </c>
      <c r="U5" s="1028"/>
      <c r="V5" s="1029"/>
      <c r="W5" s="1029"/>
    </row>
    <row r="6" spans="1:23" ht="15" customHeight="1">
      <c r="A6" s="1030" t="s">
        <v>742</v>
      </c>
      <c r="B6" s="1031"/>
      <c r="C6" s="1032"/>
      <c r="D6" s="1057"/>
      <c r="E6" s="1030" t="s">
        <v>743</v>
      </c>
      <c r="F6" s="1031"/>
      <c r="G6" s="1031"/>
      <c r="H6" s="1220"/>
      <c r="I6" s="1023"/>
      <c r="J6" s="1023"/>
      <c r="O6" s="1033" t="s">
        <v>744</v>
      </c>
      <c r="P6" s="1033" t="s">
        <v>745</v>
      </c>
      <c r="Q6" s="1033" t="s">
        <v>746</v>
      </c>
      <c r="R6" s="1033" t="s">
        <v>747</v>
      </c>
      <c r="S6" s="1020"/>
      <c r="T6" s="1033" t="s">
        <v>744</v>
      </c>
      <c r="U6" s="1033" t="s">
        <v>745</v>
      </c>
      <c r="V6" s="1033" t="s">
        <v>746</v>
      </c>
      <c r="W6" s="1033" t="s">
        <v>747</v>
      </c>
    </row>
    <row r="7" spans="1:23" ht="15" customHeight="1">
      <c r="A7" s="155" t="s">
        <v>656</v>
      </c>
      <c r="B7" s="187" t="s">
        <v>550</v>
      </c>
      <c r="C7" s="300"/>
      <c r="D7" s="1057"/>
      <c r="E7" s="155" t="s">
        <v>666</v>
      </c>
      <c r="F7" s="187" t="s">
        <v>558</v>
      </c>
      <c r="G7" s="979"/>
      <c r="H7" s="1220"/>
      <c r="I7" s="1023"/>
      <c r="J7" s="1023"/>
      <c r="O7" s="857">
        <v>3</v>
      </c>
      <c r="P7" s="857">
        <v>7</v>
      </c>
      <c r="Q7" s="857" t="str">
        <f aca="true" t="shared" si="0" ref="Q7:Q16">B7</f>
        <v>F77F</v>
      </c>
      <c r="R7" s="857">
        <f>IF(ISNUMBER(C7),ROUND(C7,0),"")</f>
      </c>
      <c r="S7" s="382"/>
      <c r="T7" s="857">
        <v>3</v>
      </c>
      <c r="U7" s="857">
        <v>41</v>
      </c>
      <c r="V7" s="857" t="str">
        <f>F7</f>
        <v>U839</v>
      </c>
      <c r="W7" s="857">
        <f>IF(ISNUMBER(G7),ROUND(G7,0),"")</f>
      </c>
    </row>
    <row r="8" spans="1:23" ht="15" customHeight="1">
      <c r="A8" s="155" t="s">
        <v>657</v>
      </c>
      <c r="B8" s="187" t="s">
        <v>551</v>
      </c>
      <c r="C8" s="300"/>
      <c r="D8" s="1057"/>
      <c r="E8" s="155" t="s">
        <v>667</v>
      </c>
      <c r="F8" s="187" t="s">
        <v>559</v>
      </c>
      <c r="G8" s="980"/>
      <c r="H8" s="1220"/>
      <c r="I8" s="1023"/>
      <c r="J8" s="1023"/>
      <c r="O8" s="857">
        <v>3</v>
      </c>
      <c r="P8" s="857">
        <v>7</v>
      </c>
      <c r="Q8" s="857" t="str">
        <f t="shared" si="0"/>
        <v>F78F</v>
      </c>
      <c r="R8" s="857">
        <f aca="true" t="shared" si="1" ref="R8:R16">IF(ISNUMBER(C8),ROUND(C8,0),"")</f>
      </c>
      <c r="S8" s="382"/>
      <c r="T8" s="857">
        <v>3</v>
      </c>
      <c r="U8" s="857">
        <v>41</v>
      </c>
      <c r="V8" s="857" t="str">
        <f>F8</f>
        <v>U841</v>
      </c>
      <c r="W8" s="857">
        <f>IF(ISNUMBER(G8),ROUND(G8,0),"")</f>
      </c>
    </row>
    <row r="9" spans="1:23" ht="15" customHeight="1" thickBot="1">
      <c r="A9" s="155" t="s">
        <v>658</v>
      </c>
      <c r="B9" s="187" t="s">
        <v>552</v>
      </c>
      <c r="C9" s="300"/>
      <c r="D9" s="1057"/>
      <c r="E9" s="155" t="s">
        <v>668</v>
      </c>
      <c r="F9" s="187" t="s">
        <v>560</v>
      </c>
      <c r="G9" s="980"/>
      <c r="H9" s="1221"/>
      <c r="I9" s="1023"/>
      <c r="J9" s="1023"/>
      <c r="O9" s="857">
        <v>3</v>
      </c>
      <c r="P9" s="857">
        <v>7</v>
      </c>
      <c r="Q9" s="857" t="str">
        <f t="shared" si="0"/>
        <v>F79F</v>
      </c>
      <c r="R9" s="857">
        <f t="shared" si="1"/>
      </c>
      <c r="S9" s="382"/>
      <c r="T9" s="857">
        <v>3</v>
      </c>
      <c r="U9" s="857">
        <v>41</v>
      </c>
      <c r="V9" s="857" t="str">
        <f>F9</f>
        <v>U842</v>
      </c>
      <c r="W9" s="857">
        <f>IF(ISNUMBER(G9),ROUND(G9,0),"")</f>
      </c>
    </row>
    <row r="10" spans="1:23" ht="15" customHeight="1" thickBot="1">
      <c r="A10" s="155" t="s">
        <v>659</v>
      </c>
      <c r="B10" s="187" t="s">
        <v>553</v>
      </c>
      <c r="C10" s="300"/>
      <c r="D10" s="1057"/>
      <c r="E10" s="155" t="s">
        <v>702</v>
      </c>
      <c r="F10" s="187" t="s">
        <v>703</v>
      </c>
      <c r="G10" s="980"/>
      <c r="H10" s="1036" t="s">
        <v>748</v>
      </c>
      <c r="I10" s="1023"/>
      <c r="J10" s="1023"/>
      <c r="O10" s="857">
        <v>3</v>
      </c>
      <c r="P10" s="857">
        <v>7</v>
      </c>
      <c r="Q10" s="857" t="str">
        <f t="shared" si="0"/>
        <v>F07H</v>
      </c>
      <c r="R10" s="857">
        <f t="shared" si="1"/>
      </c>
      <c r="S10" s="382"/>
      <c r="T10" s="857">
        <v>3</v>
      </c>
      <c r="U10" s="857">
        <v>41</v>
      </c>
      <c r="V10" s="857" t="str">
        <f>F10</f>
        <v>U01I</v>
      </c>
      <c r="W10" s="857">
        <f>IF(ISNUMBER(G10),ROUND(G10,0),"")</f>
      </c>
    </row>
    <row r="11" spans="1:23" ht="15" customHeight="1" thickBot="1">
      <c r="A11" s="155" t="s">
        <v>660</v>
      </c>
      <c r="B11" s="187" t="s">
        <v>554</v>
      </c>
      <c r="C11" s="760"/>
      <c r="D11" s="1057"/>
      <c r="E11" s="693" t="s">
        <v>696</v>
      </c>
      <c r="F11" s="764"/>
      <c r="G11" s="981">
        <f>SUM(G7:G10)</f>
        <v>0</v>
      </c>
      <c r="H11" s="1222" t="str">
        <f>IF(OR(AND(C30=0,G30=0),ROUND(C30,0)&lt;&gt;ROUND(G30,0)),"OK","Attenzione: le risorse del fondo coincidono esattamente con i relativi impeghi, è necessario giustificare")</f>
        <v>OK</v>
      </c>
      <c r="I11" s="1023"/>
      <c r="J11" s="1023"/>
      <c r="O11" s="857">
        <v>3</v>
      </c>
      <c r="P11" s="857">
        <v>7</v>
      </c>
      <c r="Q11" s="857" t="str">
        <f t="shared" si="0"/>
        <v>F80F</v>
      </c>
      <c r="R11" s="857">
        <f t="shared" si="1"/>
      </c>
      <c r="S11" s="382"/>
      <c r="T11" s="1037"/>
      <c r="U11" s="1037"/>
      <c r="V11" s="382"/>
      <c r="W11" s="382"/>
    </row>
    <row r="12" spans="1:23" ht="15" customHeight="1">
      <c r="A12" s="155" t="s">
        <v>645</v>
      </c>
      <c r="B12" s="187" t="s">
        <v>539</v>
      </c>
      <c r="C12" s="760"/>
      <c r="D12" s="1057"/>
      <c r="E12" s="1038" t="s">
        <v>697</v>
      </c>
      <c r="F12" s="1039"/>
      <c r="G12" s="1040"/>
      <c r="H12" s="1223"/>
      <c r="I12" s="855"/>
      <c r="J12" s="855"/>
      <c r="O12" s="857">
        <v>3</v>
      </c>
      <c r="P12" s="857">
        <v>7</v>
      </c>
      <c r="Q12" s="857" t="str">
        <f t="shared" si="0"/>
        <v>F998</v>
      </c>
      <c r="R12" s="857">
        <f t="shared" si="1"/>
      </c>
      <c r="S12" s="382"/>
      <c r="T12" s="1041"/>
      <c r="U12" s="1041"/>
      <c r="V12" s="382"/>
      <c r="W12" s="382"/>
    </row>
    <row r="13" spans="1:23" ht="15" customHeight="1">
      <c r="A13" s="1043" t="s">
        <v>749</v>
      </c>
      <c r="B13" s="187" t="s">
        <v>701</v>
      </c>
      <c r="C13" s="760"/>
      <c r="D13" s="1057"/>
      <c r="E13" s="155" t="s">
        <v>704</v>
      </c>
      <c r="F13" s="187" t="s">
        <v>705</v>
      </c>
      <c r="G13" s="980"/>
      <c r="H13" s="1223"/>
      <c r="I13" s="855"/>
      <c r="J13" s="855"/>
      <c r="O13" s="857">
        <v>3</v>
      </c>
      <c r="P13" s="857">
        <v>7</v>
      </c>
      <c r="Q13" s="857" t="str">
        <f t="shared" si="0"/>
        <v>F27I</v>
      </c>
      <c r="R13" s="857">
        <f t="shared" si="1"/>
      </c>
      <c r="S13" s="382"/>
      <c r="T13" s="857">
        <v>3</v>
      </c>
      <c r="U13" s="857">
        <v>42</v>
      </c>
      <c r="V13" s="857" t="str">
        <f>F13</f>
        <v>U16I</v>
      </c>
      <c r="W13" s="857">
        <f>IF(ISNUMBER(G13),ROUND(G13,0),"")</f>
      </c>
    </row>
    <row r="14" spans="1:23" ht="15" customHeight="1">
      <c r="A14" s="1043" t="s">
        <v>750</v>
      </c>
      <c r="B14" s="1044" t="s">
        <v>751</v>
      </c>
      <c r="C14" s="763"/>
      <c r="D14" s="1057"/>
      <c r="E14" s="155" t="s">
        <v>706</v>
      </c>
      <c r="F14" s="187" t="s">
        <v>707</v>
      </c>
      <c r="G14" s="980"/>
      <c r="H14" s="1223"/>
      <c r="I14" s="855"/>
      <c r="J14" s="855"/>
      <c r="O14" s="857">
        <v>3</v>
      </c>
      <c r="P14" s="857">
        <v>7</v>
      </c>
      <c r="Q14" s="857" t="str">
        <f t="shared" si="0"/>
        <v>F00G</v>
      </c>
      <c r="R14" s="857">
        <f t="shared" si="1"/>
      </c>
      <c r="S14" s="382"/>
      <c r="T14" s="857">
        <v>3</v>
      </c>
      <c r="U14" s="857">
        <v>42</v>
      </c>
      <c r="V14" s="857" t="str">
        <f>F14</f>
        <v>U17I</v>
      </c>
      <c r="W14" s="857">
        <f>IF(ISNUMBER(G14),ROUND(G14,0),"")</f>
      </c>
    </row>
    <row r="15" spans="1:23" ht="15" customHeight="1">
      <c r="A15" s="1043" t="s">
        <v>752</v>
      </c>
      <c r="B15" s="1044" t="s">
        <v>753</v>
      </c>
      <c r="C15" s="763"/>
      <c r="D15" s="1057"/>
      <c r="E15" s="155" t="s">
        <v>708</v>
      </c>
      <c r="F15" s="187" t="s">
        <v>709</v>
      </c>
      <c r="G15" s="980"/>
      <c r="H15" s="1223"/>
      <c r="I15" s="855"/>
      <c r="J15" s="855"/>
      <c r="O15" s="857">
        <v>3</v>
      </c>
      <c r="P15" s="857">
        <v>7</v>
      </c>
      <c r="Q15" s="857" t="str">
        <f t="shared" si="0"/>
        <v>F00H</v>
      </c>
      <c r="R15" s="857">
        <f t="shared" si="1"/>
      </c>
      <c r="S15" s="382"/>
      <c r="T15" s="857">
        <v>3</v>
      </c>
      <c r="U15" s="857">
        <v>42</v>
      </c>
      <c r="V15" s="857" t="str">
        <f>F15</f>
        <v>U18I</v>
      </c>
      <c r="W15" s="857">
        <f>IF(ISNUMBER(G15),ROUND(G15,0),"")</f>
      </c>
    </row>
    <row r="16" spans="1:23" ht="15" customHeight="1" thickBot="1">
      <c r="A16" s="155" t="s">
        <v>661</v>
      </c>
      <c r="B16" s="187" t="s">
        <v>540</v>
      </c>
      <c r="C16" s="763"/>
      <c r="D16" s="1057"/>
      <c r="E16" s="1061" t="s">
        <v>669</v>
      </c>
      <c r="F16" s="187" t="s">
        <v>561</v>
      </c>
      <c r="G16" s="980"/>
      <c r="H16" s="1224"/>
      <c r="I16" s="855"/>
      <c r="J16" s="855"/>
      <c r="O16" s="857">
        <v>3</v>
      </c>
      <c r="P16" s="857">
        <v>7</v>
      </c>
      <c r="Q16" s="857" t="str">
        <f t="shared" si="0"/>
        <v>F86H</v>
      </c>
      <c r="R16" s="857">
        <f t="shared" si="1"/>
      </c>
      <c r="S16" s="382"/>
      <c r="T16" s="857">
        <v>3</v>
      </c>
      <c r="U16" s="857">
        <v>42</v>
      </c>
      <c r="V16" s="857" t="str">
        <f>F16</f>
        <v>U998</v>
      </c>
      <c r="W16" s="857">
        <f>IF(ISNUMBER(G16),ROUND(G16,0),"")</f>
      </c>
    </row>
    <row r="17" spans="1:23" ht="15" customHeight="1" thickBot="1">
      <c r="A17" s="693" t="s">
        <v>388</v>
      </c>
      <c r="B17" s="764"/>
      <c r="C17" s="679">
        <f>SUM(C7:C12)-SUM(C13:C16)</f>
        <v>0</v>
      </c>
      <c r="D17" s="1057"/>
      <c r="E17" s="1062" t="s">
        <v>700</v>
      </c>
      <c r="F17" s="680"/>
      <c r="G17" s="981">
        <f>SUM(G13:G16)</f>
        <v>0</v>
      </c>
      <c r="H17" s="854"/>
      <c r="I17" s="855"/>
      <c r="J17" s="855"/>
      <c r="O17" s="1037"/>
      <c r="P17" s="1037"/>
      <c r="Q17" s="382"/>
      <c r="R17" s="382"/>
      <c r="S17" s="382"/>
      <c r="T17" s="857" t="s">
        <v>590</v>
      </c>
      <c r="U17" s="382"/>
      <c r="V17" s="382"/>
      <c r="W17" s="382"/>
    </row>
    <row r="18" spans="1:23" ht="15" customHeight="1" thickBot="1">
      <c r="A18" s="1038" t="s">
        <v>389</v>
      </c>
      <c r="B18" s="1039"/>
      <c r="C18" s="1040"/>
      <c r="D18" s="1057"/>
      <c r="E18" s="850" t="s">
        <v>631</v>
      </c>
      <c r="F18" s="984"/>
      <c r="G18" s="848">
        <f>G11+G17</f>
        <v>0</v>
      </c>
      <c r="H18" s="854"/>
      <c r="I18" s="855"/>
      <c r="J18" s="855"/>
      <c r="O18" s="1041"/>
      <c r="P18" s="1041"/>
      <c r="Q18" s="382"/>
      <c r="R18" s="382"/>
      <c r="S18" s="382"/>
      <c r="T18" s="382"/>
      <c r="U18" s="382"/>
      <c r="V18" s="382"/>
      <c r="W18" s="382"/>
    </row>
    <row r="19" spans="1:23" ht="15" customHeight="1">
      <c r="A19" s="155" t="s">
        <v>662</v>
      </c>
      <c r="B19" s="187" t="s">
        <v>555</v>
      </c>
      <c r="C19" s="760"/>
      <c r="D19" s="1057"/>
      <c r="E19" s="982"/>
      <c r="F19" s="683"/>
      <c r="G19" s="682"/>
      <c r="H19" s="851"/>
      <c r="I19" s="851"/>
      <c r="J19" s="851"/>
      <c r="O19" s="857">
        <v>3</v>
      </c>
      <c r="P19" s="857">
        <v>9</v>
      </c>
      <c r="Q19" s="857" t="str">
        <f aca="true" t="shared" si="2" ref="Q19:Q27">B19</f>
        <v>F81F</v>
      </c>
      <c r="R19" s="857">
        <f aca="true" t="shared" si="3" ref="R19:R27">IF(ISNUMBER(C19),ROUND(C19,0),"")</f>
      </c>
      <c r="S19" s="382"/>
      <c r="T19" s="382"/>
      <c r="U19" s="382"/>
      <c r="V19" s="382"/>
      <c r="W19" s="382"/>
    </row>
    <row r="20" spans="1:23" ht="15" customHeight="1">
      <c r="A20" s="155" t="s">
        <v>663</v>
      </c>
      <c r="B20" s="138" t="s">
        <v>556</v>
      </c>
      <c r="C20" s="760"/>
      <c r="D20" s="1057"/>
      <c r="E20" s="982"/>
      <c r="F20" s="683"/>
      <c r="G20" s="682"/>
      <c r="H20" s="853"/>
      <c r="I20" s="853"/>
      <c r="J20" s="853"/>
      <c r="O20" s="857">
        <v>3</v>
      </c>
      <c r="P20" s="857">
        <v>9</v>
      </c>
      <c r="Q20" s="857" t="str">
        <f t="shared" si="2"/>
        <v>F82F</v>
      </c>
      <c r="R20" s="857">
        <f t="shared" si="3"/>
      </c>
      <c r="S20" s="382"/>
      <c r="T20" s="382"/>
      <c r="U20" s="382"/>
      <c r="V20" s="382"/>
      <c r="W20" s="382"/>
    </row>
    <row r="21" spans="1:23" ht="15" customHeight="1">
      <c r="A21" s="155" t="s">
        <v>664</v>
      </c>
      <c r="B21" s="138" t="s">
        <v>557</v>
      </c>
      <c r="C21" s="760"/>
      <c r="D21" s="1057"/>
      <c r="E21" s="982"/>
      <c r="F21" s="683"/>
      <c r="G21" s="682"/>
      <c r="H21" s="853"/>
      <c r="I21" s="853"/>
      <c r="J21" s="853"/>
      <c r="O21" s="857">
        <v>3</v>
      </c>
      <c r="P21" s="857">
        <v>9</v>
      </c>
      <c r="Q21" s="857" t="str">
        <f t="shared" si="2"/>
        <v>F83F</v>
      </c>
      <c r="R21" s="857">
        <f t="shared" si="3"/>
      </c>
      <c r="S21" s="382"/>
      <c r="T21" s="382"/>
      <c r="U21" s="382"/>
      <c r="V21" s="382"/>
      <c r="W21" s="382"/>
    </row>
    <row r="22" spans="1:23" ht="15" customHeight="1">
      <c r="A22" s="155" t="s">
        <v>665</v>
      </c>
      <c r="B22" s="138" t="s">
        <v>629</v>
      </c>
      <c r="C22" s="760"/>
      <c r="D22" s="1057"/>
      <c r="E22" s="982"/>
      <c r="F22" s="683"/>
      <c r="G22" s="682"/>
      <c r="H22" s="851"/>
      <c r="I22" s="851"/>
      <c r="J22" s="851"/>
      <c r="O22" s="857">
        <v>3</v>
      </c>
      <c r="P22" s="857">
        <v>9</v>
      </c>
      <c r="Q22" s="857" t="str">
        <f t="shared" si="2"/>
        <v>F96H</v>
      </c>
      <c r="R22" s="857">
        <f t="shared" si="3"/>
      </c>
      <c r="S22" s="382"/>
      <c r="T22" s="382"/>
      <c r="U22" s="382"/>
      <c r="V22" s="382"/>
      <c r="W22" s="382"/>
    </row>
    <row r="23" spans="1:23" ht="15" customHeight="1">
      <c r="A23" s="155" t="s">
        <v>650</v>
      </c>
      <c r="B23" s="138" t="s">
        <v>544</v>
      </c>
      <c r="C23" s="760"/>
      <c r="D23" s="1057"/>
      <c r="E23" s="982"/>
      <c r="F23" s="683"/>
      <c r="G23" s="682"/>
      <c r="H23" s="851"/>
      <c r="I23" s="851"/>
      <c r="J23" s="851"/>
      <c r="O23" s="857">
        <v>3</v>
      </c>
      <c r="P23" s="857">
        <v>9</v>
      </c>
      <c r="Q23" s="857" t="str">
        <f t="shared" si="2"/>
        <v>F995</v>
      </c>
      <c r="R23" s="857">
        <f t="shared" si="3"/>
      </c>
      <c r="S23" s="382"/>
      <c r="T23" s="382"/>
      <c r="U23" s="382"/>
      <c r="V23" s="382"/>
      <c r="W23" s="382"/>
    </row>
    <row r="24" spans="1:23" ht="15" customHeight="1">
      <c r="A24" s="155" t="s">
        <v>651</v>
      </c>
      <c r="B24" s="138" t="s">
        <v>545</v>
      </c>
      <c r="C24" s="760"/>
      <c r="D24" s="1057"/>
      <c r="E24" s="982"/>
      <c r="F24" s="683"/>
      <c r="G24" s="682"/>
      <c r="H24" s="851"/>
      <c r="I24" s="851"/>
      <c r="J24" s="851"/>
      <c r="O24" s="857">
        <v>3</v>
      </c>
      <c r="P24" s="857">
        <v>9</v>
      </c>
      <c r="Q24" s="857" t="str">
        <f t="shared" si="2"/>
        <v>F999</v>
      </c>
      <c r="R24" s="857">
        <f t="shared" si="3"/>
      </c>
      <c r="S24" s="382"/>
      <c r="T24" s="382"/>
      <c r="U24" s="382"/>
      <c r="V24" s="382"/>
      <c r="W24" s="382"/>
    </row>
    <row r="25" spans="1:23" ht="15" customHeight="1">
      <c r="A25" s="1049" t="s">
        <v>754</v>
      </c>
      <c r="B25" s="1044" t="s">
        <v>755</v>
      </c>
      <c r="C25" s="763"/>
      <c r="D25" s="1057"/>
      <c r="E25" s="982"/>
      <c r="F25" s="683"/>
      <c r="G25" s="682"/>
      <c r="H25" s="851"/>
      <c r="I25" s="851"/>
      <c r="J25" s="851"/>
      <c r="O25" s="857">
        <v>3</v>
      </c>
      <c r="P25" s="857">
        <v>9</v>
      </c>
      <c r="Q25" s="857" t="str">
        <f t="shared" si="2"/>
        <v>F00I</v>
      </c>
      <c r="R25" s="857">
        <f t="shared" si="3"/>
      </c>
      <c r="S25" s="382"/>
      <c r="T25" s="382"/>
      <c r="U25" s="382"/>
      <c r="V25" s="382"/>
      <c r="W25" s="382"/>
    </row>
    <row r="26" spans="1:23" ht="15" customHeight="1">
      <c r="A26" s="1049" t="s">
        <v>756</v>
      </c>
      <c r="B26" s="1044" t="s">
        <v>757</v>
      </c>
      <c r="C26" s="763"/>
      <c r="D26" s="1057"/>
      <c r="E26" s="982"/>
      <c r="F26" s="683"/>
      <c r="G26" s="682"/>
      <c r="H26" s="851"/>
      <c r="I26" s="851"/>
      <c r="J26" s="851"/>
      <c r="O26" s="857">
        <v>3</v>
      </c>
      <c r="P26" s="857">
        <v>9</v>
      </c>
      <c r="Q26" s="857" t="str">
        <f t="shared" si="2"/>
        <v>F00L</v>
      </c>
      <c r="R26" s="857">
        <f t="shared" si="3"/>
      </c>
      <c r="S26" s="382"/>
      <c r="T26" s="382"/>
      <c r="U26" s="382"/>
      <c r="V26" s="382"/>
      <c r="W26" s="382"/>
    </row>
    <row r="27" spans="1:23" ht="15" customHeight="1">
      <c r="A27" s="155" t="s">
        <v>652</v>
      </c>
      <c r="B27" s="138" t="s">
        <v>546</v>
      </c>
      <c r="C27" s="763"/>
      <c r="D27" s="1057"/>
      <c r="E27" s="982"/>
      <c r="F27" s="683"/>
      <c r="G27" s="682"/>
      <c r="H27" s="851"/>
      <c r="I27" s="851"/>
      <c r="J27" s="851"/>
      <c r="O27" s="857">
        <v>3</v>
      </c>
      <c r="P27" s="857">
        <v>9</v>
      </c>
      <c r="Q27" s="857" t="str">
        <f t="shared" si="2"/>
        <v>F91H</v>
      </c>
      <c r="R27" s="857">
        <f t="shared" si="3"/>
      </c>
      <c r="S27" s="382"/>
      <c r="T27" s="382"/>
      <c r="U27" s="382"/>
      <c r="V27" s="382"/>
      <c r="W27" s="382"/>
    </row>
    <row r="28" spans="1:23" ht="15" customHeight="1" thickBot="1">
      <c r="A28" s="693" t="s">
        <v>390</v>
      </c>
      <c r="B28" s="764"/>
      <c r="C28" s="679">
        <f>SUM(C19:C24)-SUM(C25:C27)</f>
        <v>0</v>
      </c>
      <c r="D28" s="1057"/>
      <c r="E28" s="982"/>
      <c r="F28" s="683"/>
      <c r="G28" s="682"/>
      <c r="O28" s="857" t="s">
        <v>590</v>
      </c>
      <c r="P28" s="382"/>
      <c r="Q28" s="382"/>
      <c r="R28" s="382"/>
      <c r="S28" s="382"/>
      <c r="T28" s="382"/>
      <c r="U28" s="382"/>
      <c r="V28" s="382"/>
      <c r="W28" s="382"/>
    </row>
    <row r="29" spans="1:20" ht="15" customHeight="1" thickBot="1">
      <c r="A29" s="850" t="s">
        <v>631</v>
      </c>
      <c r="B29" s="984"/>
      <c r="C29" s="848">
        <f>C17+C28</f>
        <v>0</v>
      </c>
      <c r="D29" s="1057"/>
      <c r="E29" s="983"/>
      <c r="F29" s="852"/>
      <c r="G29" s="849"/>
      <c r="K29" s="382"/>
      <c r="L29" s="382"/>
      <c r="M29" s="382"/>
      <c r="N29" s="382"/>
      <c r="O29" s="382"/>
      <c r="P29" s="382"/>
      <c r="Q29" s="382"/>
      <c r="R29" s="382"/>
      <c r="S29" s="382"/>
      <c r="T29" s="382"/>
    </row>
    <row r="30" spans="1:20" ht="30" customHeight="1" thickBot="1">
      <c r="A30" s="1050" t="s">
        <v>82</v>
      </c>
      <c r="B30" s="1052"/>
      <c r="C30" s="497">
        <f>C29</f>
        <v>0</v>
      </c>
      <c r="D30" s="1057"/>
      <c r="E30" s="1050" t="s">
        <v>82</v>
      </c>
      <c r="F30" s="1052"/>
      <c r="G30" s="497">
        <f>G18</f>
        <v>0</v>
      </c>
      <c r="K30" s="382"/>
      <c r="L30" s="382"/>
      <c r="M30" s="382"/>
      <c r="N30" s="382"/>
      <c r="O30" s="382"/>
      <c r="P30" s="382"/>
      <c r="Q30" s="382"/>
      <c r="R30" s="382"/>
      <c r="S30" s="382"/>
      <c r="T30" s="382"/>
    </row>
    <row r="31" spans="1:7" ht="4.5" customHeight="1">
      <c r="A31" s="805"/>
      <c r="C31" s="805"/>
      <c r="E31" s="805"/>
      <c r="F31" s="805"/>
      <c r="G31" s="805"/>
    </row>
    <row r="32" spans="1:7" ht="15" customHeight="1">
      <c r="A32" s="1054" t="s">
        <v>194</v>
      </c>
      <c r="C32" s="805"/>
      <c r="E32" s="805"/>
      <c r="F32" s="805"/>
      <c r="G32" s="805"/>
    </row>
    <row r="33" spans="1:7" ht="15" customHeight="1">
      <c r="A33" s="1054" t="s">
        <v>409</v>
      </c>
      <c r="C33" s="805"/>
      <c r="E33" s="805"/>
      <c r="F33" s="805"/>
      <c r="G33" s="805"/>
    </row>
    <row r="34" ht="15" customHeight="1"/>
    <row r="35" ht="15" customHeight="1"/>
    <row r="36" ht="15" customHeight="1"/>
    <row r="37" spans="8:12" ht="15" customHeight="1">
      <c r="H37" s="380"/>
      <c r="I37" s="380"/>
      <c r="J37" s="380"/>
      <c r="K37" s="380"/>
      <c r="L37" s="380"/>
    </row>
    <row r="38" spans="4:12" ht="15" customHeight="1">
      <c r="D38" s="380"/>
      <c r="H38" s="380"/>
      <c r="I38" s="380"/>
      <c r="J38" s="380"/>
      <c r="K38" s="380"/>
      <c r="L38" s="380"/>
    </row>
    <row r="39" ht="15" customHeight="1">
      <c r="D39" s="380"/>
    </row>
    <row r="40" spans="1:7" ht="21" customHeight="1">
      <c r="A40" s="380"/>
      <c r="B40" s="382"/>
      <c r="C40" s="380"/>
      <c r="E40" s="380"/>
      <c r="F40" s="380"/>
      <c r="G40" s="380"/>
    </row>
    <row r="41" spans="1:7" ht="11.25" customHeight="1">
      <c r="A41" s="380"/>
      <c r="B41" s="382"/>
      <c r="C41" s="380"/>
      <c r="E41" s="380"/>
      <c r="F41" s="380"/>
      <c r="G41" s="380"/>
    </row>
    <row r="42" ht="15" customHeight="1"/>
    <row r="43" ht="1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18" customHeight="1"/>
    <row r="61" ht="9" customHeight="1"/>
    <row r="62" ht="10.5" customHeight="1" hidden="1"/>
    <row r="63" ht="8.25" customHeight="1" hidden="1"/>
    <row r="64" spans="1:12" s="380" customFormat="1" ht="23.25" customHeight="1">
      <c r="A64" s="378"/>
      <c r="B64" s="379"/>
      <c r="C64" s="378"/>
      <c r="D64" s="378"/>
      <c r="E64" s="378"/>
      <c r="F64" s="378"/>
      <c r="G64" s="378"/>
      <c r="H64" s="378"/>
      <c r="I64" s="378"/>
      <c r="J64" s="378"/>
      <c r="K64" s="378"/>
      <c r="L64" s="378"/>
    </row>
    <row r="65" spans="1:12" s="380" customFormat="1" ht="10.5">
      <c r="A65" s="378"/>
      <c r="B65" s="379"/>
      <c r="C65" s="378"/>
      <c r="D65" s="378"/>
      <c r="E65" s="378"/>
      <c r="F65" s="378"/>
      <c r="G65" s="378"/>
      <c r="H65" s="378"/>
      <c r="I65" s="378"/>
      <c r="J65" s="378"/>
      <c r="K65" s="378"/>
      <c r="L65" s="378"/>
    </row>
  </sheetData>
  <sheetProtection password="EA98" sheet="1" formatColumns="0" selectLockedCells="1"/>
  <mergeCells count="2">
    <mergeCell ref="H4:H9"/>
    <mergeCell ref="H11:H16"/>
  </mergeCells>
  <dataValidations count="2">
    <dataValidation type="whole" allowBlank="1" showInputMessage="1" showErrorMessage="1" errorTitle="ERRORE NEL DATO IMMESSO" error="INSERIRE SOLO NUMERI INTERI" sqref="C28:C29 G11 C17 G17:G29">
      <formula1>-999999999999</formula1>
      <formula2>999999999999</formula2>
    </dataValidation>
    <dataValidation type="whole" allowBlank="1" showInputMessage="1" showErrorMessage="1" errorTitle="ERRORE NEL DATO IMMESSO" error="INSERIRE SOLO NUMERI INTERI" sqref="G7:G10 G13:G16 C7:C16 C19:C27">
      <formula1>0</formula1>
      <formula2>999999999999</formula2>
    </dataValidation>
  </dataValidations>
  <printOptions horizontalCentered="1" verticalCentered="1"/>
  <pageMargins left="0.3937007874015748" right="0.3937007874015748" top="0.3937007874015748" bottom="0.3937007874015748" header="0.5118110236220472" footer="0.1968503937007874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>
    <tabColor indexed="11"/>
  </sheetPr>
  <dimension ref="A1:I37"/>
  <sheetViews>
    <sheetView zoomScale="75" zoomScaleNormal="75" zoomScalePageLayoutView="0" workbookViewId="0" topLeftCell="A1">
      <selection activeCell="G24" sqref="G24"/>
    </sheetView>
  </sheetViews>
  <sheetFormatPr defaultColWidth="12.83203125" defaultRowHeight="10.5"/>
  <cols>
    <col min="1" max="1" width="6.83203125" style="567" customWidth="1"/>
    <col min="2" max="2" width="25.83203125" style="568" customWidth="1"/>
    <col min="3" max="3" width="5.5" style="568" customWidth="1"/>
    <col min="4" max="4" width="56.16015625" style="568" customWidth="1"/>
    <col min="5" max="5" width="22.5" style="568" customWidth="1"/>
    <col min="6" max="6" width="23.16015625" style="568" customWidth="1"/>
    <col min="7" max="7" width="21.5" style="568" customWidth="1"/>
    <col min="8" max="8" width="25.5" style="626" customWidth="1"/>
    <col min="9" max="9" width="0" style="626" hidden="1" customWidth="1"/>
    <col min="10" max="16384" width="12.83203125" style="626" customWidth="1"/>
  </cols>
  <sheetData>
    <row r="1" spans="8:9" ht="54.75" customHeight="1">
      <c r="H1" s="590" t="s">
        <v>317</v>
      </c>
      <c r="I1" s="387"/>
    </row>
    <row r="2" spans="2:9" ht="54.75" customHeight="1">
      <c r="B2" s="1120" t="str">
        <f>IF(SI_1!G56&gt;0,"LA COMPILAZIONE DI QUESTA APPENDICE E' OBBLIGATORIA","")</f>
        <v>LA COMPILAZIONE DI QUESTA APPENDICE E' OBBLIGATORIA</v>
      </c>
      <c r="C2" s="1120"/>
      <c r="D2" s="1120"/>
      <c r="E2" s="1120"/>
      <c r="F2" s="1120"/>
      <c r="G2" s="1120"/>
      <c r="H2" s="590"/>
      <c r="I2" s="387"/>
    </row>
    <row r="3" spans="1:9" ht="26.25" customHeight="1" thickBot="1">
      <c r="A3" s="586"/>
      <c r="B3" s="582"/>
      <c r="C3" s="582"/>
      <c r="D3" s="583" t="str">
        <f>'t1'!A1</f>
        <v>COMPARTO AFAM - anno 2016</v>
      </c>
      <c r="E3" s="582"/>
      <c r="F3" s="582"/>
      <c r="G3" s="582"/>
      <c r="H3" s="591"/>
      <c r="I3" s="387"/>
    </row>
    <row r="4" spans="2:9" ht="12">
      <c r="B4" s="569"/>
      <c r="C4" s="569"/>
      <c r="D4" s="569"/>
      <c r="E4" s="569"/>
      <c r="F4" s="569"/>
      <c r="G4" s="569"/>
      <c r="H4" s="592"/>
      <c r="I4" s="387"/>
    </row>
    <row r="5" spans="1:9" ht="15">
      <c r="A5" s="570"/>
      <c r="B5" s="571"/>
      <c r="C5" s="572"/>
      <c r="D5" s="571"/>
      <c r="E5" s="571"/>
      <c r="G5" s="593" t="s">
        <v>76</v>
      </c>
      <c r="H5" s="592"/>
      <c r="I5" s="387"/>
    </row>
    <row r="6" spans="1:9" ht="17.25" customHeight="1">
      <c r="A6" s="570" t="s">
        <v>294</v>
      </c>
      <c r="B6" s="573" t="s">
        <v>334</v>
      </c>
      <c r="C6" s="574"/>
      <c r="G6" s="581"/>
      <c r="H6" s="592"/>
      <c r="I6" s="387"/>
    </row>
    <row r="7" spans="1:9" ht="20.25" customHeight="1">
      <c r="A7" s="570"/>
      <c r="C7" s="574"/>
      <c r="D7" s="571" t="s">
        <v>67</v>
      </c>
      <c r="G7" s="598">
        <v>4</v>
      </c>
      <c r="H7" s="1121">
        <f>IF(SUM(G7:G9)&lt;&gt;SI_1!G56,"LA SOMMA DEI VALORI DEVE ESSERE UGUALE A "&amp;SI_1!G56,"")</f>
      </c>
      <c r="I7" s="387"/>
    </row>
    <row r="8" spans="1:9" ht="20.25" customHeight="1">
      <c r="A8" s="570"/>
      <c r="C8" s="574"/>
      <c r="D8" s="571" t="s">
        <v>5</v>
      </c>
      <c r="G8" s="598"/>
      <c r="H8" s="1121"/>
      <c r="I8" s="387"/>
    </row>
    <row r="9" spans="1:9" ht="20.25" customHeight="1">
      <c r="A9" s="570"/>
      <c r="C9" s="574"/>
      <c r="D9" s="571" t="s">
        <v>4</v>
      </c>
      <c r="G9" s="598">
        <v>10</v>
      </c>
      <c r="H9" s="1121"/>
      <c r="I9" s="603"/>
    </row>
    <row r="10" spans="1:9" ht="17.25" customHeight="1">
      <c r="A10" s="570"/>
      <c r="B10" s="571"/>
      <c r="C10" s="572"/>
      <c r="D10" s="571"/>
      <c r="E10" s="571"/>
      <c r="G10" s="578"/>
      <c r="H10" s="592"/>
      <c r="I10" s="387"/>
    </row>
    <row r="11" spans="1:9" ht="20.25" customHeight="1">
      <c r="A11" s="570" t="s">
        <v>295</v>
      </c>
      <c r="B11" s="594" t="s">
        <v>342</v>
      </c>
      <c r="C11" s="572"/>
      <c r="D11" s="571"/>
      <c r="E11" s="571"/>
      <c r="G11" s="598"/>
      <c r="H11" s="1123">
        <f>IF(SI_1!G56=0,"",IF(AND(G11&lt;=SI_1!G56,G11&gt;=0),"","IL VALORE INSERITO DEVE ESSERE &lt;= "&amp;SI_1!G56))</f>
      </c>
      <c r="I11" s="387"/>
    </row>
    <row r="12" spans="1:9" ht="17.25" customHeight="1">
      <c r="A12" s="570"/>
      <c r="B12" s="571"/>
      <c r="C12" s="572"/>
      <c r="D12" s="571"/>
      <c r="E12" s="571"/>
      <c r="G12" s="578"/>
      <c r="H12" s="1124"/>
      <c r="I12" s="387"/>
    </row>
    <row r="13" spans="1:9" ht="15" customHeight="1">
      <c r="A13" s="570" t="s">
        <v>297</v>
      </c>
      <c r="B13" s="575" t="s">
        <v>68</v>
      </c>
      <c r="C13" s="572"/>
      <c r="D13" s="571"/>
      <c r="E13" s="571"/>
      <c r="G13" s="578"/>
      <c r="H13" s="592"/>
      <c r="I13" s="387"/>
    </row>
    <row r="14" spans="1:9" ht="20.25" customHeight="1">
      <c r="A14" s="576"/>
      <c r="C14" s="572"/>
      <c r="D14" s="571" t="s">
        <v>69</v>
      </c>
      <c r="E14" s="571"/>
      <c r="G14" s="598">
        <v>1</v>
      </c>
      <c r="H14" s="1122">
        <f>IF(SUM(G14:G17)&lt;&gt;SI_1!G56,"LA SOMMA DEI VALORI DEVE ESSERE UGUALE A "&amp;SI_1!G56,"")</f>
      </c>
      <c r="I14" s="387"/>
    </row>
    <row r="15" spans="1:9" ht="20.25" customHeight="1">
      <c r="A15" s="576"/>
      <c r="C15" s="577"/>
      <c r="D15" s="578" t="s">
        <v>70</v>
      </c>
      <c r="E15" s="578"/>
      <c r="G15" s="598">
        <v>3</v>
      </c>
      <c r="H15" s="1122"/>
      <c r="I15" s="387"/>
    </row>
    <row r="16" spans="1:9" ht="20.25" customHeight="1">
      <c r="A16" s="579"/>
      <c r="C16" s="580"/>
      <c r="D16" s="580" t="s">
        <v>71</v>
      </c>
      <c r="E16" s="580"/>
      <c r="G16" s="599">
        <v>10</v>
      </c>
      <c r="H16" s="1122"/>
      <c r="I16" s="387"/>
    </row>
    <row r="17" spans="1:9" ht="20.25" customHeight="1">
      <c r="A17" s="579"/>
      <c r="C17" s="580"/>
      <c r="D17" s="580" t="s">
        <v>72</v>
      </c>
      <c r="E17" s="580"/>
      <c r="G17" s="599"/>
      <c r="H17" s="1122"/>
      <c r="I17" s="387"/>
    </row>
    <row r="18" spans="1:9" ht="15" customHeight="1">
      <c r="A18" s="576"/>
      <c r="B18" s="571"/>
      <c r="C18" s="571"/>
      <c r="D18" s="571"/>
      <c r="E18" s="571"/>
      <c r="G18" s="571"/>
      <c r="H18" s="595"/>
      <c r="I18" s="387"/>
    </row>
    <row r="19" spans="1:9" ht="20.25" customHeight="1">
      <c r="A19" s="753" t="s">
        <v>298</v>
      </c>
      <c r="B19" s="1125" t="s">
        <v>343</v>
      </c>
      <c r="C19" s="1126"/>
      <c r="D19" s="1126"/>
      <c r="E19" s="1126"/>
      <c r="F19" s="1126"/>
      <c r="G19" s="598">
        <v>14</v>
      </c>
      <c r="H19" s="1123">
        <f>IF(SI_1!G56=0,"",IF(AND(G19&lt;=SI_1!G56,G19&gt;0),"","IL VALORE INSERITO DEVE ESSERE &lt;= "&amp;SI_1!G56&amp;" E MAGGIORE DI 0"))</f>
      </c>
      <c r="I19" s="387"/>
    </row>
    <row r="20" spans="1:9" ht="33.75" customHeight="1">
      <c r="A20" s="576"/>
      <c r="B20" s="1126"/>
      <c r="C20" s="1126"/>
      <c r="D20" s="1126"/>
      <c r="E20" s="1126"/>
      <c r="F20" s="1126"/>
      <c r="G20" s="571"/>
      <c r="H20" s="1124"/>
      <c r="I20" s="387"/>
    </row>
    <row r="21" spans="1:9" ht="15" customHeight="1">
      <c r="A21" s="576"/>
      <c r="B21" s="575" t="s">
        <v>344</v>
      </c>
      <c r="C21" s="571"/>
      <c r="D21" s="571"/>
      <c r="E21" s="571"/>
      <c r="G21" s="571"/>
      <c r="H21" s="595"/>
      <c r="I21" s="387"/>
    </row>
    <row r="22" spans="1:9" ht="20.25" customHeight="1">
      <c r="A22" s="576"/>
      <c r="B22" s="571"/>
      <c r="C22" s="571"/>
      <c r="D22" s="571" t="s">
        <v>73</v>
      </c>
      <c r="E22" s="571"/>
      <c r="G22" s="598">
        <v>13</v>
      </c>
      <c r="H22" s="1122">
        <f>IF(SUM(G22:G24)&lt;&gt;G19,"LA SOMMA DEI VALORI DEVE ESSERE UGUALE A "&amp;IF(G19&lt;&gt;0,G19,0),"")</f>
      </c>
      <c r="I22" s="387"/>
    </row>
    <row r="23" spans="1:9" ht="20.25" customHeight="1">
      <c r="A23" s="576"/>
      <c r="B23" s="571"/>
      <c r="C23" s="571"/>
      <c r="D23" s="571" t="s">
        <v>74</v>
      </c>
      <c r="E23" s="571"/>
      <c r="G23" s="598">
        <v>1</v>
      </c>
      <c r="H23" s="1122"/>
      <c r="I23" s="387"/>
    </row>
    <row r="24" spans="1:9" ht="20.25" customHeight="1">
      <c r="A24" s="576"/>
      <c r="B24" s="571"/>
      <c r="C24" s="571"/>
      <c r="D24" s="571" t="s">
        <v>75</v>
      </c>
      <c r="E24" s="571"/>
      <c r="G24" s="598"/>
      <c r="H24" s="1122"/>
      <c r="I24" s="387">
        <f>SUM(G22:G24,G19,G14:G17,G11,G7:G9)</f>
        <v>56</v>
      </c>
    </row>
    <row r="25" spans="1:9" ht="15" customHeight="1">
      <c r="A25" s="576"/>
      <c r="B25" s="571"/>
      <c r="C25" s="571"/>
      <c r="D25" s="571"/>
      <c r="E25" s="571"/>
      <c r="F25" s="571"/>
      <c r="G25" s="571"/>
      <c r="H25" s="595"/>
      <c r="I25" s="387"/>
    </row>
    <row r="26" spans="1:9" s="627" customFormat="1" ht="15" customHeight="1">
      <c r="A26" s="576"/>
      <c r="B26" s="571"/>
      <c r="C26" s="571"/>
      <c r="D26" s="571"/>
      <c r="E26" s="571"/>
      <c r="F26" s="571"/>
      <c r="G26" s="571"/>
      <c r="H26" s="596"/>
      <c r="I26" s="412"/>
    </row>
    <row r="27" spans="1:9" ht="14.25">
      <c r="A27" s="584"/>
      <c r="B27" s="585"/>
      <c r="C27" s="585"/>
      <c r="D27" s="585"/>
      <c r="E27" s="585"/>
      <c r="F27" s="585"/>
      <c r="G27" s="585"/>
      <c r="H27" s="597"/>
      <c r="I27" s="387"/>
    </row>
    <row r="28" spans="1:8" ht="14.25">
      <c r="A28" s="576"/>
      <c r="B28" s="571"/>
      <c r="C28" s="571"/>
      <c r="D28" s="571"/>
      <c r="E28" s="571"/>
      <c r="F28" s="571"/>
      <c r="G28" s="571"/>
      <c r="H28" s="571"/>
    </row>
    <row r="29" spans="1:8" ht="14.25">
      <c r="A29" s="576"/>
      <c r="B29" s="571"/>
      <c r="C29" s="571"/>
      <c r="D29" s="571"/>
      <c r="E29" s="571"/>
      <c r="F29" s="571"/>
      <c r="G29" s="571"/>
      <c r="H29" s="571"/>
    </row>
    <row r="30" spans="1:8" ht="14.25">
      <c r="A30" s="576"/>
      <c r="B30" s="571"/>
      <c r="C30" s="571"/>
      <c r="D30" s="571"/>
      <c r="E30" s="571"/>
      <c r="F30" s="571"/>
      <c r="G30" s="571"/>
      <c r="H30" s="571"/>
    </row>
    <row r="31" spans="1:8" ht="14.25">
      <c r="A31" s="576"/>
      <c r="B31" s="571"/>
      <c r="C31" s="571"/>
      <c r="D31" s="571"/>
      <c r="E31" s="571"/>
      <c r="F31" s="571"/>
      <c r="G31" s="571"/>
      <c r="H31" s="571"/>
    </row>
    <row r="32" spans="1:8" ht="14.25">
      <c r="A32" s="576"/>
      <c r="B32" s="571"/>
      <c r="C32" s="571"/>
      <c r="D32" s="571"/>
      <c r="E32" s="571"/>
      <c r="F32" s="571"/>
      <c r="G32" s="571"/>
      <c r="H32" s="571"/>
    </row>
    <row r="33" spans="1:8" ht="14.25">
      <c r="A33" s="576"/>
      <c r="B33" s="571"/>
      <c r="C33" s="571"/>
      <c r="D33" s="571"/>
      <c r="E33" s="571"/>
      <c r="F33" s="571"/>
      <c r="G33" s="571"/>
      <c r="H33" s="571"/>
    </row>
    <row r="34" spans="1:8" ht="23.25" customHeight="1">
      <c r="A34" s="576"/>
      <c r="B34" s="571"/>
      <c r="C34" s="571"/>
      <c r="D34" s="571"/>
      <c r="E34" s="571"/>
      <c r="F34" s="571"/>
      <c r="G34" s="571"/>
      <c r="H34" s="571"/>
    </row>
    <row r="35" spans="1:8" ht="23.25" customHeight="1">
      <c r="A35" s="576"/>
      <c r="B35" s="571"/>
      <c r="C35" s="571"/>
      <c r="D35" s="571"/>
      <c r="E35" s="571"/>
      <c r="F35" s="571"/>
      <c r="G35" s="571"/>
      <c r="H35" s="571"/>
    </row>
    <row r="36" spans="1:8" ht="23.25" customHeight="1">
      <c r="A36" s="576"/>
      <c r="B36" s="571"/>
      <c r="C36" s="571"/>
      <c r="D36" s="571"/>
      <c r="E36" s="571"/>
      <c r="F36" s="571"/>
      <c r="G36" s="571"/>
      <c r="H36" s="571"/>
    </row>
    <row r="37" spans="1:8" ht="23.25" customHeight="1">
      <c r="A37" s="576"/>
      <c r="B37" s="571"/>
      <c r="C37" s="571"/>
      <c r="D37" s="571"/>
      <c r="E37" s="571"/>
      <c r="F37" s="571"/>
      <c r="G37" s="571"/>
      <c r="H37" s="571"/>
    </row>
  </sheetData>
  <sheetProtection password="EA98" sheet="1" formatColumns="0" selectLockedCells="1"/>
  <mergeCells count="7">
    <mergeCell ref="B2:G2"/>
    <mergeCell ref="H7:H9"/>
    <mergeCell ref="H14:H17"/>
    <mergeCell ref="H22:H24"/>
    <mergeCell ref="H11:H12"/>
    <mergeCell ref="H19:H20"/>
    <mergeCell ref="B19:F20"/>
  </mergeCells>
  <dataValidations count="1">
    <dataValidation type="whole" operator="greaterThanOrEqual" allowBlank="1" showInputMessage="1" showErrorMessage="1" errorTitle="ERRORE" error="IL VALORE DEVE ESSERE UN INTERO POSITIVO" sqref="G11">
      <formula1>0</formula1>
    </dataValidation>
  </dataValidations>
  <printOptions/>
  <pageMargins left="0.34" right="0.34" top="0.5" bottom="0.38" header="0.5" footer="0.38"/>
  <pageSetup horizontalDpi="600" verticalDpi="6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pane ySplit="3" topLeftCell="A16" activePane="bottomLeft" state="frozen"/>
      <selection pane="topLeft" activeCell="E11" sqref="E11"/>
      <selection pane="bottomLeft" activeCell="D30" activeCellId="1" sqref="D4:D27 D30"/>
    </sheetView>
  </sheetViews>
  <sheetFormatPr defaultColWidth="9.16015625" defaultRowHeight="10.5"/>
  <cols>
    <col min="1" max="1" width="87.83203125" style="378" customWidth="1"/>
    <col min="2" max="3" width="25.83203125" style="378" customWidth="1"/>
    <col min="4" max="4" width="60.83203125" style="378" customWidth="1"/>
    <col min="5" max="5" width="9.16015625" style="378" hidden="1" customWidth="1"/>
    <col min="6" max="6" width="10" style="378" customWidth="1"/>
    <col min="7" max="16384" width="9.16015625" style="378" customWidth="1"/>
  </cols>
  <sheetData>
    <row r="1" spans="1:12" s="377" customFormat="1" ht="43.5" customHeight="1">
      <c r="A1" s="1155" t="str">
        <f>'t1'!A1</f>
        <v>COMPARTO AFAM - anno 2016</v>
      </c>
      <c r="B1" s="1155"/>
      <c r="C1" s="1225"/>
      <c r="D1" s="1225"/>
      <c r="E1" s="376"/>
      <c r="F1" s="4"/>
      <c r="G1" s="376"/>
      <c r="H1" s="376"/>
      <c r="I1" s="376"/>
      <c r="J1" s="376"/>
      <c r="L1" s="378"/>
    </row>
    <row r="2" spans="1:4" ht="30" customHeight="1" thickBot="1">
      <c r="A2" s="1226" t="str">
        <f>IF(B31&gt;0,IF($F$32&gt;0," ","Attenzione: Compilare la presente Tabella"),IF(C31=0," "," "))</f>
        <v>Attenzione: Compilare la presente Tabella</v>
      </c>
      <c r="B2" s="1226"/>
      <c r="C2" s="1227"/>
      <c r="D2" s="1227"/>
    </row>
    <row r="3" spans="1:4" ht="21.75" customHeight="1" thickBot="1">
      <c r="A3" s="806" t="s">
        <v>585</v>
      </c>
      <c r="B3" s="807" t="s">
        <v>586</v>
      </c>
      <c r="C3" s="807" t="s">
        <v>602</v>
      </c>
      <c r="D3" s="808" t="s">
        <v>443</v>
      </c>
    </row>
    <row r="4" spans="1:5" s="812" customFormat="1" ht="23.25" customHeight="1">
      <c r="A4" s="809" t="s">
        <v>587</v>
      </c>
      <c r="B4" s="810">
        <f>'t12'!J31</f>
        <v>0</v>
      </c>
      <c r="C4" s="1228"/>
      <c r="D4" s="1231"/>
      <c r="E4" s="811" t="s">
        <v>588</v>
      </c>
    </row>
    <row r="5" spans="1:5" s="812" customFormat="1" ht="23.25" customHeight="1">
      <c r="A5" s="707" t="s">
        <v>589</v>
      </c>
      <c r="B5" s="813">
        <f>'t13'!V31</f>
        <v>31289</v>
      </c>
      <c r="C5" s="1229"/>
      <c r="D5" s="1232"/>
      <c r="E5" s="811" t="s">
        <v>590</v>
      </c>
    </row>
    <row r="6" spans="1:5" s="812" customFormat="1" ht="23.25" customHeight="1">
      <c r="A6" s="707" t="s">
        <v>591</v>
      </c>
      <c r="B6" s="813">
        <f>'t14'!D4</f>
        <v>0</v>
      </c>
      <c r="C6" s="1230"/>
      <c r="D6" s="1233"/>
      <c r="E6" s="811" t="s">
        <v>590</v>
      </c>
    </row>
    <row r="7" spans="1:5" s="812" customFormat="1" ht="23.25" customHeight="1">
      <c r="A7" s="707" t="s">
        <v>592</v>
      </c>
      <c r="B7" s="813">
        <f>'t14'!D5</f>
        <v>0</v>
      </c>
      <c r="C7" s="927"/>
      <c r="D7" s="930"/>
      <c r="E7" s="811" t="s">
        <v>176</v>
      </c>
    </row>
    <row r="8" spans="1:5" s="812" customFormat="1" ht="23.25" customHeight="1">
      <c r="A8" s="707" t="s">
        <v>154</v>
      </c>
      <c r="B8" s="813">
        <f>'t14'!D6</f>
        <v>0</v>
      </c>
      <c r="C8" s="927"/>
      <c r="D8" s="930"/>
      <c r="E8" s="811" t="s">
        <v>177</v>
      </c>
    </row>
    <row r="9" spans="1:5" s="812" customFormat="1" ht="23.25" customHeight="1">
      <c r="A9" s="814" t="s">
        <v>158</v>
      </c>
      <c r="B9" s="813">
        <f>'t14'!D7</f>
        <v>0</v>
      </c>
      <c r="C9" s="928"/>
      <c r="D9" s="931"/>
      <c r="E9" s="811" t="s">
        <v>178</v>
      </c>
    </row>
    <row r="10" spans="1:5" s="812" customFormat="1" ht="23.25" customHeight="1">
      <c r="A10" s="707" t="s">
        <v>157</v>
      </c>
      <c r="B10" s="813">
        <f>'t14'!D8</f>
        <v>0</v>
      </c>
      <c r="C10" s="927"/>
      <c r="D10" s="930"/>
      <c r="E10" s="811" t="s">
        <v>179</v>
      </c>
    </row>
    <row r="11" spans="1:5" s="812" customFormat="1" ht="23.25" customHeight="1">
      <c r="A11" s="707" t="s">
        <v>156</v>
      </c>
      <c r="B11" s="813">
        <f>'t14'!D9</f>
        <v>0</v>
      </c>
      <c r="C11" s="927"/>
      <c r="D11" s="930"/>
      <c r="E11" s="811" t="s">
        <v>180</v>
      </c>
    </row>
    <row r="12" spans="1:5" s="812" customFormat="1" ht="23.25" customHeight="1">
      <c r="A12" s="707" t="s">
        <v>608</v>
      </c>
      <c r="B12" s="813">
        <f>'t14'!D10</f>
        <v>0</v>
      </c>
      <c r="C12" s="927"/>
      <c r="D12" s="930"/>
      <c r="E12" s="811" t="s">
        <v>168</v>
      </c>
    </row>
    <row r="13" spans="1:5" s="812" customFormat="1" ht="23.25" customHeight="1">
      <c r="A13" s="707" t="s">
        <v>609</v>
      </c>
      <c r="B13" s="813">
        <f>'t14'!D23</f>
        <v>0</v>
      </c>
      <c r="C13" s="927"/>
      <c r="D13" s="930"/>
      <c r="E13" s="811" t="s">
        <v>167</v>
      </c>
    </row>
    <row r="14" spans="1:5" s="812" customFormat="1" ht="23.25" customHeight="1">
      <c r="A14" s="707" t="s">
        <v>181</v>
      </c>
      <c r="B14" s="813">
        <f>'t14'!D11</f>
        <v>0</v>
      </c>
      <c r="C14" s="927"/>
      <c r="D14" s="930"/>
      <c r="E14" s="811" t="s">
        <v>182</v>
      </c>
    </row>
    <row r="15" spans="1:5" s="812" customFormat="1" ht="23.25" customHeight="1">
      <c r="A15" s="707" t="s">
        <v>56</v>
      </c>
      <c r="B15" s="815">
        <f>'t14'!D12</f>
        <v>121136</v>
      </c>
      <c r="C15" s="928"/>
      <c r="D15" s="931"/>
      <c r="E15" s="811" t="s">
        <v>184</v>
      </c>
    </row>
    <row r="16" spans="1:5" s="812" customFormat="1" ht="23.25" customHeight="1">
      <c r="A16" s="707" t="s">
        <v>402</v>
      </c>
      <c r="B16" s="813">
        <f>'t14'!D13</f>
        <v>0</v>
      </c>
      <c r="C16" s="928"/>
      <c r="D16" s="931"/>
      <c r="E16" s="811" t="s">
        <v>196</v>
      </c>
    </row>
    <row r="17" spans="1:5" s="812" customFormat="1" ht="23.25" customHeight="1">
      <c r="A17" s="707" t="s">
        <v>593</v>
      </c>
      <c r="B17" s="813">
        <f>'t14'!D14</f>
        <v>22162</v>
      </c>
      <c r="C17" s="927"/>
      <c r="D17" s="930"/>
      <c r="E17" s="811" t="s">
        <v>3</v>
      </c>
    </row>
    <row r="18" spans="1:5" s="761" customFormat="1" ht="23.25" customHeight="1">
      <c r="A18" s="707" t="s">
        <v>114</v>
      </c>
      <c r="B18" s="813">
        <f>'t14'!D15</f>
        <v>0</v>
      </c>
      <c r="C18" s="928"/>
      <c r="D18" s="931"/>
      <c r="E18" s="805" t="s">
        <v>183</v>
      </c>
    </row>
    <row r="19" spans="1:5" s="377" customFormat="1" ht="23.25" customHeight="1">
      <c r="A19" s="707" t="s">
        <v>610</v>
      </c>
      <c r="B19" s="813">
        <f>'t14'!D16</f>
        <v>16901</v>
      </c>
      <c r="C19" s="927"/>
      <c r="D19" s="930"/>
      <c r="E19" s="816" t="s">
        <v>165</v>
      </c>
    </row>
    <row r="20" spans="1:5" s="761" customFormat="1" ht="23.25" customHeight="1">
      <c r="A20" s="707" t="s">
        <v>404</v>
      </c>
      <c r="B20" s="813">
        <f>'t14'!D17</f>
        <v>0</v>
      </c>
      <c r="C20" s="927"/>
      <c r="D20" s="930"/>
      <c r="E20" s="811" t="s">
        <v>166</v>
      </c>
    </row>
    <row r="21" spans="1:5" s="761" customFormat="1" ht="23.25" customHeight="1">
      <c r="A21" s="707" t="s">
        <v>155</v>
      </c>
      <c r="B21" s="813">
        <f>'t14'!D18</f>
        <v>0</v>
      </c>
      <c r="C21" s="927"/>
      <c r="D21" s="930"/>
      <c r="E21" s="811" t="s">
        <v>175</v>
      </c>
    </row>
    <row r="22" spans="1:5" s="761" customFormat="1" ht="23.25" customHeight="1">
      <c r="A22" s="707" t="s">
        <v>618</v>
      </c>
      <c r="B22" s="813">
        <f>'t14'!D19</f>
        <v>0</v>
      </c>
      <c r="C22" s="927"/>
      <c r="D22" s="930"/>
      <c r="E22" s="811" t="s">
        <v>619</v>
      </c>
    </row>
    <row r="23" spans="1:5" s="761" customFormat="1" ht="23.25" customHeight="1">
      <c r="A23" s="707" t="s">
        <v>594</v>
      </c>
      <c r="B23" s="813">
        <f>'t14'!D20</f>
        <v>0</v>
      </c>
      <c r="C23" s="927"/>
      <c r="D23" s="930"/>
      <c r="E23" s="811" t="s">
        <v>171</v>
      </c>
    </row>
    <row r="24" spans="1:5" s="761" customFormat="1" ht="23.25" customHeight="1">
      <c r="A24" s="707" t="s">
        <v>611</v>
      </c>
      <c r="B24" s="813">
        <f>'t14'!D21</f>
        <v>0</v>
      </c>
      <c r="C24" s="928"/>
      <c r="D24" s="931"/>
      <c r="E24" s="811" t="s">
        <v>172</v>
      </c>
    </row>
    <row r="25" spans="1:5" s="761" customFormat="1" ht="23.25" customHeight="1">
      <c r="A25" s="707" t="s">
        <v>595</v>
      </c>
      <c r="B25" s="813">
        <f>'t14'!D22</f>
        <v>0</v>
      </c>
      <c r="C25" s="928"/>
      <c r="D25" s="931"/>
      <c r="E25" s="811" t="s">
        <v>173</v>
      </c>
    </row>
    <row r="26" spans="1:5" s="761" customFormat="1" ht="23.25" customHeight="1">
      <c r="A26" s="817" t="s">
        <v>612</v>
      </c>
      <c r="B26" s="813">
        <f>'t14'!D24</f>
        <v>0</v>
      </c>
      <c r="C26" s="928"/>
      <c r="D26" s="931"/>
      <c r="E26" s="811" t="s">
        <v>169</v>
      </c>
    </row>
    <row r="27" spans="1:5" s="761" customFormat="1" ht="23.25" customHeight="1" thickBot="1">
      <c r="A27" s="709" t="s">
        <v>596</v>
      </c>
      <c r="B27" s="818">
        <f>'t14'!D25+'t14'!D26</f>
        <v>0</v>
      </c>
      <c r="C27" s="929"/>
      <c r="D27" s="932"/>
      <c r="E27" s="811" t="s">
        <v>597</v>
      </c>
    </row>
    <row r="28" spans="1:5" ht="15.75" customHeight="1" thickBot="1">
      <c r="A28" s="819" t="s">
        <v>598</v>
      </c>
      <c r="B28" s="820">
        <f>SUM(B4:B27)</f>
        <v>191488</v>
      </c>
      <c r="C28" s="820">
        <f>SUM(C4:C27)</f>
        <v>0</v>
      </c>
      <c r="D28" s="821"/>
      <c r="E28" s="811" t="s">
        <v>590</v>
      </c>
    </row>
    <row r="29" spans="1:5" ht="15.75" customHeight="1">
      <c r="A29" s="822"/>
      <c r="B29" s="823"/>
      <c r="C29" s="822"/>
      <c r="D29" s="824"/>
      <c r="E29" s="811" t="s">
        <v>590</v>
      </c>
    </row>
    <row r="30" spans="1:5" s="761" customFormat="1" ht="23.25" customHeight="1" thickBot="1">
      <c r="A30" s="825" t="s">
        <v>599</v>
      </c>
      <c r="B30" s="813">
        <f>'t14'!D27+'t14'!D28+'t14'!D29</f>
        <v>0</v>
      </c>
      <c r="C30" s="929"/>
      <c r="D30" s="932"/>
      <c r="E30" s="811" t="s">
        <v>600</v>
      </c>
    </row>
    <row r="31" spans="1:5" ht="15.75" customHeight="1" thickBot="1">
      <c r="A31" s="819" t="s">
        <v>601</v>
      </c>
      <c r="B31" s="820">
        <f>B28-B30</f>
        <v>191488</v>
      </c>
      <c r="C31" s="820">
        <f>C28-C30</f>
        <v>0</v>
      </c>
      <c r="D31" s="826"/>
      <c r="E31" s="827"/>
    </row>
    <row r="32" ht="10.5">
      <c r="F32" s="378">
        <f>IF(AND(C28=0,C30=0,D4="",D7="",D8="",D9="",D10="",D11="",D12="",D13="",D14="",D15="",D16="",D17="",D18="",D19="",D20="",D21="",D23="",D24="",D25="",D26="",D27="",D30=""),0,1)</f>
        <v>0</v>
      </c>
    </row>
    <row r="33" ht="11.25" customHeight="1">
      <c r="A33" s="828" t="s">
        <v>192</v>
      </c>
    </row>
    <row r="44" ht="10.5">
      <c r="A44" s="829"/>
    </row>
  </sheetData>
  <sheetProtection password="EA98" sheet="1" formatColumns="0" selectLockedCells="1"/>
  <mergeCells count="4">
    <mergeCell ref="A1:D1"/>
    <mergeCell ref="A2:D2"/>
    <mergeCell ref="C4:C6"/>
    <mergeCell ref="D4:D6"/>
  </mergeCells>
  <dataValidations count="2">
    <dataValidation type="textLength" allowBlank="1" showInputMessage="1" showErrorMessage="1" errorTitle="ATTENZIONE ! ! !" error="E' stato superato il limite di 500 caratteri" sqref="D27">
      <formula1>0</formula1>
      <formula2>500</formula2>
    </dataValidation>
    <dataValidation type="textLength" allowBlank="1" showInputMessage="1" showErrorMessage="1" errorTitle="ATTENZIONE ! ! ! " error="E' stato superato il limite di 500 caratteri" sqref="D4:D26">
      <formula1>0</formula1>
      <formula2>500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36">
    <tabColor rgb="FFCC0099"/>
  </sheetPr>
  <dimension ref="A1:Y33"/>
  <sheetViews>
    <sheetView showGridLines="0" zoomScalePageLayoutView="0" workbookViewId="0" topLeftCell="A1">
      <pane xSplit="2" ySplit="5" topLeftCell="C6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4" sqref="A4"/>
    </sheetView>
  </sheetViews>
  <sheetFormatPr defaultColWidth="9.33203125" defaultRowHeight="10.5"/>
  <cols>
    <col min="1" max="1" width="57.83203125" style="5" customWidth="1"/>
    <col min="2" max="2" width="10" style="7" customWidth="1"/>
    <col min="3" max="5" width="10.83203125" style="7" customWidth="1"/>
    <col min="6" max="8" width="11.83203125" style="7" customWidth="1"/>
    <col min="9" max="14" width="13.83203125" style="7" customWidth="1"/>
    <col min="15" max="20" width="14.83203125" style="7" customWidth="1"/>
    <col min="21" max="21" width="9.33203125" style="108" customWidth="1"/>
  </cols>
  <sheetData>
    <row r="1" spans="1:24" s="5" customFormat="1" ht="43.5" customHeight="1">
      <c r="A1" s="1155" t="str">
        <f>'t1'!A1</f>
        <v>COMPARTO AFAM - anno 2016</v>
      </c>
      <c r="B1" s="1155"/>
      <c r="C1" s="1155"/>
      <c r="D1" s="1155"/>
      <c r="E1" s="1155"/>
      <c r="F1" s="1155"/>
      <c r="G1" s="1155"/>
      <c r="H1" s="1155"/>
      <c r="I1" s="1155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V1" s="3"/>
      <c r="X1"/>
    </row>
    <row r="2" spans="9:24" s="5" customFormat="1" ht="12.75" customHeight="1"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324"/>
      <c r="V2" s="3"/>
      <c r="X2"/>
    </row>
    <row r="3" spans="1:4" s="5" customFormat="1" ht="21" customHeight="1">
      <c r="A3" s="197" t="s">
        <v>351</v>
      </c>
      <c r="B3" s="7"/>
      <c r="C3" s="7"/>
      <c r="D3" s="7"/>
    </row>
    <row r="4" spans="1:20" s="5" customFormat="1" ht="21" customHeight="1">
      <c r="A4" s="197"/>
      <c r="B4" s="7"/>
      <c r="C4" s="7"/>
      <c r="D4" s="7"/>
      <c r="F4" s="1234" t="s">
        <v>352</v>
      </c>
      <c r="G4" s="1235"/>
      <c r="H4" s="1236"/>
      <c r="I4" s="1234" t="s">
        <v>453</v>
      </c>
      <c r="J4" s="1235"/>
      <c r="K4" s="1235"/>
      <c r="L4" s="1235"/>
      <c r="M4" s="1235"/>
      <c r="N4" s="1236"/>
      <c r="O4" s="1234" t="s">
        <v>454</v>
      </c>
      <c r="P4" s="1235"/>
      <c r="Q4" s="1235"/>
      <c r="R4" s="1235"/>
      <c r="S4" s="1235"/>
      <c r="T4" s="1236"/>
    </row>
    <row r="5" spans="1:20" ht="63">
      <c r="A5" s="642" t="s">
        <v>244</v>
      </c>
      <c r="B5" s="643" t="s">
        <v>206</v>
      </c>
      <c r="C5" s="644" t="str">
        <f>"presenti al 31/12/"&amp;'t1'!M1&amp;" (tab.1)"</f>
        <v>presenti al 31/12/2016 (tab.1)</v>
      </c>
      <c r="D5" s="644" t="s">
        <v>17</v>
      </c>
      <c r="E5" s="645" t="s">
        <v>353</v>
      </c>
      <c r="F5" s="646" t="str">
        <f>'t11'!C4</f>
        <v>FERIE</v>
      </c>
      <c r="G5" s="646" t="s">
        <v>354</v>
      </c>
      <c r="H5" s="646" t="s">
        <v>355</v>
      </c>
      <c r="I5" s="646" t="s">
        <v>356</v>
      </c>
      <c r="J5" s="646" t="str">
        <f>'t12'!E4</f>
        <v>R.I.A./ PROGR. ECONOMICA DI ANZIANITA'</v>
      </c>
      <c r="K5" s="646" t="str">
        <f>'t12'!F4</f>
        <v>TREDICESIMA MENSILTA'</v>
      </c>
      <c r="L5" s="647" t="s">
        <v>357</v>
      </c>
      <c r="M5" s="648" t="str">
        <f>'t12'!H4</f>
        <v>ARRETRATI  ANNI PRECEDENTI</v>
      </c>
      <c r="N5" s="648" t="str">
        <f>'t12'!I4</f>
        <v>RECUPERI DERIVANTI DA ASSENZE, RITARDI, ECC.</v>
      </c>
      <c r="O5" s="646" t="s">
        <v>316</v>
      </c>
      <c r="P5" s="646" t="s">
        <v>358</v>
      </c>
      <c r="Q5" s="646" t="s">
        <v>359</v>
      </c>
      <c r="R5" s="647" t="s">
        <v>360</v>
      </c>
      <c r="S5" s="648" t="str">
        <f>'t13'!R4</f>
        <v>ARRETRATI A.P. PER COMPENSI RISULTATO/ PRODUTTIVITA'</v>
      </c>
      <c r="T5" s="648" t="str">
        <f>'t13'!S4</f>
        <v>ARRETRATI ANNI PRECEDENTI</v>
      </c>
    </row>
    <row r="6" spans="1:20" ht="11.25">
      <c r="A6" s="137" t="str">
        <f>'t1'!A6</f>
        <v>DIRIGENTE SCOLASTICO</v>
      </c>
      <c r="B6" s="326" t="str">
        <f>'t1'!B6</f>
        <v>0D0158</v>
      </c>
      <c r="C6" s="649">
        <f>'t1'!L6+'t1'!M6</f>
        <v>0</v>
      </c>
      <c r="D6" s="649">
        <f>('t1'!L6+'t1'!M6)-SUM('t3'!C6:F6,'t3'!I6:L6)+SUM('t3'!M6:P6)</f>
        <v>0</v>
      </c>
      <c r="E6" s="650">
        <f>'t12'!C6/12</f>
        <v>0</v>
      </c>
      <c r="F6" s="650" t="str">
        <f>IF($D6&gt;0,(('t11'!C8+'t11'!D8)/$D6)," ")</f>
        <v> </v>
      </c>
      <c r="G6" s="650" t="str">
        <f>IF($D6&gt;0,(SUM('t11'!E8:N8)/$D6)," ")</f>
        <v> </v>
      </c>
      <c r="H6" s="650" t="str">
        <f>IF($D6&gt;0,(SUM('t11'!O8:R8)/$D6)," ")</f>
        <v> </v>
      </c>
      <c r="I6" s="651" t="str">
        <f>IF($E6=0," ",('t12'!D6+'t12'!G6)/$E6)</f>
        <v> </v>
      </c>
      <c r="J6" s="651" t="str">
        <f>IF($E6=0," ",'t12'!E6/$E6)</f>
        <v> </v>
      </c>
      <c r="K6" s="651" t="str">
        <f>IF($E6=0," ",'t12'!F6/$E6)</f>
        <v> </v>
      </c>
      <c r="L6" s="652">
        <f>SUM(I6:K6)</f>
        <v>0</v>
      </c>
      <c r="M6" s="653" t="str">
        <f>IF($E6=0," ",'t12'!H6/$E6)</f>
        <v> </v>
      </c>
      <c r="N6" s="653" t="str">
        <f>IF($E6=0," ",'t12'!I6/$E6)</f>
        <v> </v>
      </c>
      <c r="O6" s="651" t="str">
        <f>IF($E6=0," ",'t13'!U6/$E6)</f>
        <v> </v>
      </c>
      <c r="P6" s="651" t="str">
        <f>IF($E6=0," ",SUM('t13'!C6:K6)/$E6)</f>
        <v> </v>
      </c>
      <c r="Q6" s="651" t="str">
        <f>IF($E6=0," ",(SUM('t13'!L6:Q6)+'t13'!T6)/$E6)</f>
        <v> </v>
      </c>
      <c r="R6" s="652">
        <f>SUM(O6:Q6)</f>
        <v>0</v>
      </c>
      <c r="S6" s="653" t="str">
        <f>IF($E6=0," ",'t13'!R6/$E6)</f>
        <v> </v>
      </c>
      <c r="T6" s="653" t="str">
        <f>IF($E6=0," ",'t13'!S6/$E6)</f>
        <v> </v>
      </c>
    </row>
    <row r="7" spans="1:20" ht="11.25">
      <c r="A7" s="137" t="str">
        <f>'t1'!A7</f>
        <v>PROFESSORI DI PRIMA FASCIA</v>
      </c>
      <c r="B7" s="326" t="str">
        <f>'t1'!B7</f>
        <v>018P01</v>
      </c>
      <c r="C7" s="649">
        <f>'t1'!L7+'t1'!M7</f>
        <v>9</v>
      </c>
      <c r="D7" s="649">
        <f>('t1'!L7+'t1'!M7)-SUM('t3'!C7:F7,'t3'!I7:L7)+SUM('t3'!M7:P7)</f>
        <v>9</v>
      </c>
      <c r="E7" s="650">
        <f>'t12'!C7/12</f>
        <v>0</v>
      </c>
      <c r="F7" s="650">
        <f>IF($D7&gt;0,(('t11'!C9+'t11'!D9)/$D7)," ")</f>
        <v>36.67</v>
      </c>
      <c r="G7" s="650">
        <f>IF($D7&gt;0,(SUM('t11'!E9:N9)/$D7)," ")</f>
        <v>3</v>
      </c>
      <c r="H7" s="650">
        <f>IF($D7&gt;0,(SUM('t11'!O9:R9)/$D7)," ")</f>
        <v>0</v>
      </c>
      <c r="I7" s="651" t="str">
        <f>IF($E7=0," ",('t12'!D7+'t12'!G7)/$E7)</f>
        <v> </v>
      </c>
      <c r="J7" s="651" t="str">
        <f>IF($E7=0," ",'t12'!E7/$E7)</f>
        <v> </v>
      </c>
      <c r="K7" s="651" t="str">
        <f>IF($E7=0," ",'t12'!F7/$E7)</f>
        <v> </v>
      </c>
      <c r="L7" s="652">
        <f aca="true" t="shared" si="0" ref="L7:L30">SUM(I7:K7)</f>
        <v>0</v>
      </c>
      <c r="M7" s="653" t="str">
        <f>IF($E7=0," ",'t12'!H7/$E7)</f>
        <v> </v>
      </c>
      <c r="N7" s="653" t="str">
        <f>IF($E7=0," ",'t12'!I7/$E7)</f>
        <v> </v>
      </c>
      <c r="O7" s="651" t="str">
        <f>IF($E7=0," ",'t13'!U7/$E7)</f>
        <v> </v>
      </c>
      <c r="P7" s="651" t="str">
        <f>IF($E7=0," ",SUM('t13'!C7:K7)/$E7)</f>
        <v> </v>
      </c>
      <c r="Q7" s="651" t="str">
        <f>IF($E7=0," ",(SUM('t13'!L7:Q7)+'t13'!T7)/$E7)</f>
        <v> </v>
      </c>
      <c r="R7" s="652">
        <f aca="true" t="shared" si="1" ref="R7:R30">SUM(O7:Q7)</f>
        <v>0</v>
      </c>
      <c r="S7" s="653" t="str">
        <f>IF($E7=0," ",'t13'!R7/$E7)</f>
        <v> </v>
      </c>
      <c r="T7" s="653" t="str">
        <f>IF($E7=0," ",'t13'!S7/$E7)</f>
        <v> </v>
      </c>
    </row>
    <row r="8" spans="1:20" ht="11.25">
      <c r="A8" s="137" t="str">
        <f>'t1'!A8</f>
        <v>PROFESSORI DI SECONDA FASCIA</v>
      </c>
      <c r="B8" s="326" t="str">
        <f>'t1'!B8</f>
        <v>016P02</v>
      </c>
      <c r="C8" s="649">
        <f>'t1'!L8+'t1'!M8</f>
        <v>7</v>
      </c>
      <c r="D8" s="649">
        <f>('t1'!L8+'t1'!M8)-SUM('t3'!C8:F8,'t3'!I8:L8)+SUM('t3'!M8:P8)</f>
        <v>7</v>
      </c>
      <c r="E8" s="650">
        <f>'t12'!C8/12</f>
        <v>0</v>
      </c>
      <c r="F8" s="650">
        <f>IF($D8&gt;0,(('t11'!C10+'t11'!D10)/$D8)," ")</f>
        <v>38.57</v>
      </c>
      <c r="G8" s="650">
        <f>IF($D8&gt;0,(SUM('t11'!E10:N10)/$D8)," ")</f>
        <v>11.57</v>
      </c>
      <c r="H8" s="650">
        <f>IF($D8&gt;0,(SUM('t11'!O10:R10)/$D8)," ")</f>
        <v>0</v>
      </c>
      <c r="I8" s="651" t="str">
        <f>IF($E8=0," ",('t12'!D8+'t12'!G8)/$E8)</f>
        <v> </v>
      </c>
      <c r="J8" s="651" t="str">
        <f>IF($E8=0," ",'t12'!E8/$E8)</f>
        <v> </v>
      </c>
      <c r="K8" s="651" t="str">
        <f>IF($E8=0," ",'t12'!F8/$E8)</f>
        <v> </v>
      </c>
      <c r="L8" s="652">
        <f t="shared" si="0"/>
        <v>0</v>
      </c>
      <c r="M8" s="653" t="str">
        <f>IF($E8=0," ",'t12'!H8/$E8)</f>
        <v> </v>
      </c>
      <c r="N8" s="653" t="str">
        <f>IF($E8=0," ",'t12'!I8/$E8)</f>
        <v> </v>
      </c>
      <c r="O8" s="651" t="str">
        <f>IF($E8=0," ",'t13'!U8/$E8)</f>
        <v> </v>
      </c>
      <c r="P8" s="651" t="str">
        <f>IF($E8=0," ",SUM('t13'!C8:K8)/$E8)</f>
        <v> </v>
      </c>
      <c r="Q8" s="651" t="str">
        <f>IF($E8=0," ",(SUM('t13'!L8:Q8)+'t13'!T8)/$E8)</f>
        <v> </v>
      </c>
      <c r="R8" s="652">
        <f t="shared" si="1"/>
        <v>0</v>
      </c>
      <c r="S8" s="653" t="str">
        <f>IF($E8=0," ",'t13'!R8/$E8)</f>
        <v> </v>
      </c>
      <c r="T8" s="653" t="str">
        <f>IF($E8=0," ",'t13'!S8/$E8)</f>
        <v> </v>
      </c>
    </row>
    <row r="9" spans="1:20" ht="11.25">
      <c r="A9" s="137" t="str">
        <f>'t1'!A9</f>
        <v>DIRETTORE AMMINISTRATIVO EP2</v>
      </c>
      <c r="B9" s="326" t="str">
        <f>'t1'!B9</f>
        <v>013504</v>
      </c>
      <c r="C9" s="649">
        <f>'t1'!L9+'t1'!M9</f>
        <v>1</v>
      </c>
      <c r="D9" s="649">
        <f>('t1'!L9+'t1'!M9)-SUM('t3'!C9:F9,'t3'!I9:L9)+SUM('t3'!M9:P9)</f>
        <v>1</v>
      </c>
      <c r="E9" s="650">
        <f>'t12'!C9/12</f>
        <v>0</v>
      </c>
      <c r="F9" s="650">
        <f>IF($D9&gt;0,(('t11'!C11+'t11'!D11)/$D9)," ")</f>
        <v>30</v>
      </c>
      <c r="G9" s="650">
        <f>IF($D9&gt;0,(SUM('t11'!E11:N11)/$D9)," ")</f>
        <v>48</v>
      </c>
      <c r="H9" s="650">
        <f>IF($D9&gt;0,(SUM('t11'!O11:R11)/$D9)," ")</f>
        <v>0</v>
      </c>
      <c r="I9" s="651" t="str">
        <f>IF($E9=0," ",('t12'!D9+'t12'!G9)/$E9)</f>
        <v> </v>
      </c>
      <c r="J9" s="651" t="str">
        <f>IF($E9=0," ",'t12'!E9/$E9)</f>
        <v> </v>
      </c>
      <c r="K9" s="651" t="str">
        <f>IF($E9=0," ",'t12'!F9/$E9)</f>
        <v> </v>
      </c>
      <c r="L9" s="652">
        <f t="shared" si="0"/>
        <v>0</v>
      </c>
      <c r="M9" s="653" t="str">
        <f>IF($E9=0," ",'t12'!H9/$E9)</f>
        <v> </v>
      </c>
      <c r="N9" s="653" t="str">
        <f>IF($E9=0," ",'t12'!I9/$E9)</f>
        <v> </v>
      </c>
      <c r="O9" s="651" t="str">
        <f>IF($E9=0," ",'t13'!U9/$E9)</f>
        <v> </v>
      </c>
      <c r="P9" s="651" t="str">
        <f>IF($E9=0," ",SUM('t13'!C9:K9)/$E9)</f>
        <v> </v>
      </c>
      <c r="Q9" s="651" t="str">
        <f>IF($E9=0," ",(SUM('t13'!L9:Q9)+'t13'!T9)/$E9)</f>
        <v> </v>
      </c>
      <c r="R9" s="652">
        <f t="shared" si="1"/>
        <v>0</v>
      </c>
      <c r="S9" s="653" t="str">
        <f>IF($E9=0," ",'t13'!R9/$E9)</f>
        <v> </v>
      </c>
      <c r="T9" s="653" t="str">
        <f>IF($E9=0," ",'t13'!S9/$E9)</f>
        <v> </v>
      </c>
    </row>
    <row r="10" spans="1:20" ht="11.25">
      <c r="A10" s="137" t="str">
        <f>'t1'!A10</f>
        <v>DIRETTORE DELL UFFICIO DI RAGIONERIA (EP1)</v>
      </c>
      <c r="B10" s="326" t="str">
        <f>'t1'!B10</f>
        <v>013159</v>
      </c>
      <c r="C10" s="649">
        <f>'t1'!L10+'t1'!M10</f>
        <v>1</v>
      </c>
      <c r="D10" s="649">
        <f>('t1'!L10+'t1'!M10)-SUM('t3'!C10:F10,'t3'!I10:L10)+SUM('t3'!M10:P10)</f>
        <v>1</v>
      </c>
      <c r="E10" s="650">
        <f>'t12'!C10/12</f>
        <v>0</v>
      </c>
      <c r="F10" s="650">
        <f>IF($D10&gt;0,(('t11'!C12+'t11'!D12)/$D10)," ")</f>
        <v>22</v>
      </c>
      <c r="G10" s="650">
        <f>IF($D10&gt;0,(SUM('t11'!E12:N12)/$D10)," ")</f>
        <v>62</v>
      </c>
      <c r="H10" s="650">
        <f>IF($D10&gt;0,(SUM('t11'!O12:R12)/$D10)," ")</f>
        <v>0</v>
      </c>
      <c r="I10" s="651" t="str">
        <f>IF($E10=0," ",('t12'!D10+'t12'!G10)/$E10)</f>
        <v> </v>
      </c>
      <c r="J10" s="651" t="str">
        <f>IF($E10=0," ",'t12'!E10/$E10)</f>
        <v> </v>
      </c>
      <c r="K10" s="651" t="str">
        <f>IF($E10=0," ",'t12'!F10/$E10)</f>
        <v> </v>
      </c>
      <c r="L10" s="652">
        <f t="shared" si="0"/>
        <v>0</v>
      </c>
      <c r="M10" s="653" t="str">
        <f>IF($E10=0," ",'t12'!H10/$E10)</f>
        <v> </v>
      </c>
      <c r="N10" s="653" t="str">
        <f>IF($E10=0," ",'t12'!I10/$E10)</f>
        <v> </v>
      </c>
      <c r="O10" s="651" t="str">
        <f>IF($E10=0," ",'t13'!U10/$E10)</f>
        <v> </v>
      </c>
      <c r="P10" s="651" t="str">
        <f>IF($E10=0," ",SUM('t13'!C10:K10)/$E10)</f>
        <v> </v>
      </c>
      <c r="Q10" s="651" t="str">
        <f>IF($E10=0," ",(SUM('t13'!L10:Q10)+'t13'!T10)/$E10)</f>
        <v> </v>
      </c>
      <c r="R10" s="652">
        <f t="shared" si="1"/>
        <v>0</v>
      </c>
      <c r="S10" s="653" t="str">
        <f>IF($E10=0," ",'t13'!R10/$E10)</f>
        <v> </v>
      </c>
      <c r="T10" s="653" t="str">
        <f>IF($E10=0," ",'t13'!S10/$E10)</f>
        <v> </v>
      </c>
    </row>
    <row r="11" spans="1:20" ht="11.25">
      <c r="A11" s="137" t="str">
        <f>'t1'!A11</f>
        <v>COORDINATORE DI BIBLIOTECA TECNICO E AMMINISTRATIVO(D)</v>
      </c>
      <c r="B11" s="326" t="str">
        <f>'t1'!B11</f>
        <v>013DTE</v>
      </c>
      <c r="C11" s="649">
        <f>'t1'!L11+'t1'!M11</f>
        <v>0</v>
      </c>
      <c r="D11" s="649">
        <f>('t1'!L11+'t1'!M11)-SUM('t3'!C11:F11,'t3'!I11:L11)+SUM('t3'!M11:P11)</f>
        <v>0</v>
      </c>
      <c r="E11" s="650">
        <f>'t12'!C11/12</f>
        <v>0</v>
      </c>
      <c r="F11" s="650" t="str">
        <f>IF($D11&gt;0,(('t11'!C13+'t11'!D13)/$D11)," ")</f>
        <v> </v>
      </c>
      <c r="G11" s="650" t="str">
        <f>IF($D11&gt;0,(SUM('t11'!E13:N13)/$D11)," ")</f>
        <v> </v>
      </c>
      <c r="H11" s="650" t="str">
        <f>IF($D11&gt;0,(SUM('t11'!O13:R13)/$D11)," ")</f>
        <v> </v>
      </c>
      <c r="I11" s="651" t="str">
        <f>IF($E11=0," ",('t12'!D11+'t12'!G11)/$E11)</f>
        <v> </v>
      </c>
      <c r="J11" s="651" t="str">
        <f>IF($E11=0," ",'t12'!E11/$E11)</f>
        <v> </v>
      </c>
      <c r="K11" s="651" t="str">
        <f>IF($E11=0," ",'t12'!F11/$E11)</f>
        <v> </v>
      </c>
      <c r="L11" s="652">
        <f t="shared" si="0"/>
        <v>0</v>
      </c>
      <c r="M11" s="653" t="str">
        <f>IF($E11=0," ",'t12'!H11/$E11)</f>
        <v> </v>
      </c>
      <c r="N11" s="653" t="str">
        <f>IF($E11=0," ",'t12'!I11/$E11)</f>
        <v> </v>
      </c>
      <c r="O11" s="651" t="str">
        <f>IF($E11=0," ",'t13'!U11/$E11)</f>
        <v> </v>
      </c>
      <c r="P11" s="651" t="str">
        <f>IF($E11=0," ",SUM('t13'!C11:K11)/$E11)</f>
        <v> </v>
      </c>
      <c r="Q11" s="651" t="str">
        <f>IF($E11=0," ",(SUM('t13'!L11:Q11)+'t13'!T11)/$E11)</f>
        <v> </v>
      </c>
      <c r="R11" s="652">
        <f t="shared" si="1"/>
        <v>0</v>
      </c>
      <c r="S11" s="653" t="str">
        <f>IF($E11=0," ",'t13'!R11/$E11)</f>
        <v> </v>
      </c>
      <c r="T11" s="653" t="str">
        <f>IF($E11=0," ",'t13'!S11/$E11)</f>
        <v> </v>
      </c>
    </row>
    <row r="12" spans="1:20" ht="11.25">
      <c r="A12" s="137" t="str">
        <f>'t1'!A12</f>
        <v>COLLABORATORE TEC. AMMIN. DI BIBLIOT. E DI LAB. (C)</v>
      </c>
      <c r="B12" s="326" t="str">
        <f>'t1'!B12</f>
        <v>013CTE</v>
      </c>
      <c r="C12" s="649">
        <f>'t1'!L12+'t1'!M12</f>
        <v>0</v>
      </c>
      <c r="D12" s="649">
        <f>('t1'!L12+'t1'!M12)-SUM('t3'!C12:F12,'t3'!I12:L12)+SUM('t3'!M12:P12)</f>
        <v>0</v>
      </c>
      <c r="E12" s="650">
        <f>'t12'!C12/12</f>
        <v>0</v>
      </c>
      <c r="F12" s="650" t="str">
        <f>IF($D12&gt;0,(('t11'!C14+'t11'!D14)/$D12)," ")</f>
        <v> </v>
      </c>
      <c r="G12" s="650" t="str">
        <f>IF($D12&gt;0,(SUM('t11'!E14:N14)/$D12)," ")</f>
        <v> </v>
      </c>
      <c r="H12" s="650" t="str">
        <f>IF($D12&gt;0,(SUM('t11'!O14:R14)/$D12)," ")</f>
        <v> </v>
      </c>
      <c r="I12" s="651" t="str">
        <f>IF($E12=0," ",('t12'!D12+'t12'!G12)/$E12)</f>
        <v> </v>
      </c>
      <c r="J12" s="651" t="str">
        <f>IF($E12=0," ",'t12'!E12/$E12)</f>
        <v> </v>
      </c>
      <c r="K12" s="651" t="str">
        <f>IF($E12=0," ",'t12'!F12/$E12)</f>
        <v> </v>
      </c>
      <c r="L12" s="652">
        <f t="shared" si="0"/>
        <v>0</v>
      </c>
      <c r="M12" s="653" t="str">
        <f>IF($E12=0," ",'t12'!H12/$E12)</f>
        <v> </v>
      </c>
      <c r="N12" s="653" t="str">
        <f>IF($E12=0," ",'t12'!I12/$E12)</f>
        <v> </v>
      </c>
      <c r="O12" s="651" t="str">
        <f>IF($E12=0," ",'t13'!U12/$E12)</f>
        <v> </v>
      </c>
      <c r="P12" s="651" t="str">
        <f>IF($E12=0," ",SUM('t13'!C12:K12)/$E12)</f>
        <v> </v>
      </c>
      <c r="Q12" s="651" t="str">
        <f>IF($E12=0," ",(SUM('t13'!L12:Q12)+'t13'!T12)/$E12)</f>
        <v> </v>
      </c>
      <c r="R12" s="652">
        <f t="shared" si="1"/>
        <v>0</v>
      </c>
      <c r="S12" s="653" t="str">
        <f>IF($E12=0," ",'t13'!R12/$E12)</f>
        <v> </v>
      </c>
      <c r="T12" s="653" t="str">
        <f>IF($E12=0," ",'t13'!S12/$E12)</f>
        <v> </v>
      </c>
    </row>
    <row r="13" spans="1:20" ht="11.25">
      <c r="A13" s="137" t="str">
        <f>'t1'!A13</f>
        <v>ASSISTENTE AMMINISTRATIVO (B)</v>
      </c>
      <c r="B13" s="326" t="str">
        <f>'t1'!B13</f>
        <v>012117</v>
      </c>
      <c r="C13" s="649">
        <f>'t1'!L13+'t1'!M13</f>
        <v>4</v>
      </c>
      <c r="D13" s="649">
        <f>('t1'!L13+'t1'!M13)-SUM('t3'!C13:F13,'t3'!I13:L13)+SUM('t3'!M13:P13)</f>
        <v>4</v>
      </c>
      <c r="E13" s="650">
        <f>'t12'!C13/12</f>
        <v>0</v>
      </c>
      <c r="F13" s="650">
        <f>IF($D13&gt;0,(('t11'!C15+'t11'!D15)/$D13)," ")</f>
        <v>28.5</v>
      </c>
      <c r="G13" s="650">
        <f>IF($D13&gt;0,(SUM('t11'!E15:N15)/$D13)," ")</f>
        <v>16.5</v>
      </c>
      <c r="H13" s="650">
        <f>IF($D13&gt;0,(SUM('t11'!O15:R15)/$D13)," ")</f>
        <v>0</v>
      </c>
      <c r="I13" s="651" t="str">
        <f>IF($E13=0," ",('t12'!D13+'t12'!G13)/$E13)</f>
        <v> </v>
      </c>
      <c r="J13" s="651" t="str">
        <f>IF($E13=0," ",'t12'!E13/$E13)</f>
        <v> </v>
      </c>
      <c r="K13" s="651" t="str">
        <f>IF($E13=0," ",'t12'!F13/$E13)</f>
        <v> </v>
      </c>
      <c r="L13" s="652">
        <f t="shared" si="0"/>
        <v>0</v>
      </c>
      <c r="M13" s="653" t="str">
        <f>IF($E13=0," ",'t12'!H13/$E13)</f>
        <v> </v>
      </c>
      <c r="N13" s="653" t="str">
        <f>IF($E13=0," ",'t12'!I13/$E13)</f>
        <v> </v>
      </c>
      <c r="O13" s="651" t="str">
        <f>IF($E13=0," ",'t13'!U13/$E13)</f>
        <v> </v>
      </c>
      <c r="P13" s="651" t="str">
        <f>IF($E13=0," ",SUM('t13'!C13:K13)/$E13)</f>
        <v> </v>
      </c>
      <c r="Q13" s="651" t="str">
        <f>IF($E13=0," ",(SUM('t13'!L13:Q13)+'t13'!T13)/$E13)</f>
        <v> </v>
      </c>
      <c r="R13" s="652">
        <f t="shared" si="1"/>
        <v>0</v>
      </c>
      <c r="S13" s="653" t="str">
        <f>IF($E13=0," ",'t13'!R13/$E13)</f>
        <v> </v>
      </c>
      <c r="T13" s="653" t="str">
        <f>IF($E13=0," ",'t13'!S13/$E13)</f>
        <v> </v>
      </c>
    </row>
    <row r="14" spans="1:20" ht="11.25">
      <c r="A14" s="137" t="str">
        <f>'t1'!A14</f>
        <v>COADIUTORE (A)</v>
      </c>
      <c r="B14" s="326" t="str">
        <f>'t1'!B14</f>
        <v>011121</v>
      </c>
      <c r="C14" s="649">
        <f>'t1'!L14+'t1'!M14</f>
        <v>6</v>
      </c>
      <c r="D14" s="649">
        <f>('t1'!L14+'t1'!M14)-SUM('t3'!C14:F14,'t3'!I14:L14)+SUM('t3'!M14:P14)</f>
        <v>6</v>
      </c>
      <c r="E14" s="650">
        <f>'t12'!C14/12</f>
        <v>0</v>
      </c>
      <c r="F14" s="650">
        <f>IF($D14&gt;0,(('t11'!C16+'t11'!D16)/$D14)," ")</f>
        <v>33.5</v>
      </c>
      <c r="G14" s="650">
        <f>IF($D14&gt;0,(SUM('t11'!E16:N16)/$D14)," ")</f>
        <v>16.33</v>
      </c>
      <c r="H14" s="650">
        <f>IF($D14&gt;0,(SUM('t11'!O16:R16)/$D14)," ")</f>
        <v>0</v>
      </c>
      <c r="I14" s="651" t="str">
        <f>IF($E14=0," ",('t12'!D14+'t12'!G14)/$E14)</f>
        <v> </v>
      </c>
      <c r="J14" s="651" t="str">
        <f>IF($E14=0," ",'t12'!E14/$E14)</f>
        <v> </v>
      </c>
      <c r="K14" s="651" t="str">
        <f>IF($E14=0," ",'t12'!F14/$E14)</f>
        <v> </v>
      </c>
      <c r="L14" s="652">
        <f t="shared" si="0"/>
        <v>0</v>
      </c>
      <c r="M14" s="653" t="str">
        <f>IF($E14=0," ",'t12'!H14/$E14)</f>
        <v> </v>
      </c>
      <c r="N14" s="653" t="str">
        <f>IF($E14=0," ",'t12'!I14/$E14)</f>
        <v> </v>
      </c>
      <c r="O14" s="651" t="str">
        <f>IF($E14=0," ",'t13'!U14/$E14)</f>
        <v> </v>
      </c>
      <c r="P14" s="651" t="str">
        <f>IF($E14=0," ",SUM('t13'!C14:K14)/$E14)</f>
        <v> </v>
      </c>
      <c r="Q14" s="651" t="str">
        <f>IF($E14=0," ",(SUM('t13'!L14:Q14)+'t13'!T14)/$E14)</f>
        <v> </v>
      </c>
      <c r="R14" s="652">
        <f t="shared" si="1"/>
        <v>0</v>
      </c>
      <c r="S14" s="653" t="str">
        <f>IF($E14=0," ",'t13'!R14/$E14)</f>
        <v> </v>
      </c>
      <c r="T14" s="653" t="str">
        <f>IF($E14=0," ",'t13'!S14/$E14)</f>
        <v> </v>
      </c>
    </row>
    <row r="15" spans="1:20" ht="11.25">
      <c r="A15" s="137" t="str">
        <f>'t1'!A15</f>
        <v>PROFESSORI DI PRIMA FASCIA TEMPO DET.ANNUALE</v>
      </c>
      <c r="B15" s="326" t="str">
        <f>'t1'!B15</f>
        <v>018PD1</v>
      </c>
      <c r="C15" s="649">
        <f>'t1'!L15+'t1'!M15</f>
        <v>22</v>
      </c>
      <c r="D15" s="649">
        <f>('t1'!L15+'t1'!M15)-SUM('t3'!C15:F15,'t3'!I15:L15)+SUM('t3'!M15:P15)</f>
        <v>22</v>
      </c>
      <c r="E15" s="650">
        <f>'t12'!C15/12</f>
        <v>0</v>
      </c>
      <c r="F15" s="650">
        <f>IF($D15&gt;0,(('t11'!C17+'t11'!D17)/$D15)," ")</f>
        <v>28.55</v>
      </c>
      <c r="G15" s="650">
        <f>IF($D15&gt;0,(SUM('t11'!E17:N17)/$D15)," ")</f>
        <v>6.23</v>
      </c>
      <c r="H15" s="650">
        <f>IF($D15&gt;0,(SUM('t11'!O17:R17)/$D15)," ")</f>
        <v>0.41</v>
      </c>
      <c r="I15" s="651" t="str">
        <f>IF($E15=0," ",('t12'!D15+'t12'!G15)/$E15)</f>
        <v> </v>
      </c>
      <c r="J15" s="651" t="str">
        <f>IF($E15=0," ",'t12'!E15/$E15)</f>
        <v> </v>
      </c>
      <c r="K15" s="651" t="str">
        <f>IF($E15=0," ",'t12'!F15/$E15)</f>
        <v> </v>
      </c>
      <c r="L15" s="652">
        <f t="shared" si="0"/>
        <v>0</v>
      </c>
      <c r="M15" s="653" t="str">
        <f>IF($E15=0," ",'t12'!H15/$E15)</f>
        <v> </v>
      </c>
      <c r="N15" s="653" t="str">
        <f>IF($E15=0," ",'t12'!I15/$E15)</f>
        <v> </v>
      </c>
      <c r="O15" s="651" t="str">
        <f>IF($E15=0," ",'t13'!U15/$E15)</f>
        <v> </v>
      </c>
      <c r="P15" s="651" t="str">
        <f>IF($E15=0," ",SUM('t13'!C15:K15)/$E15)</f>
        <v> </v>
      </c>
      <c r="Q15" s="651" t="str">
        <f>IF($E15=0," ",(SUM('t13'!L15:Q15)+'t13'!T15)/$E15)</f>
        <v> </v>
      </c>
      <c r="R15" s="652">
        <f t="shared" si="1"/>
        <v>0</v>
      </c>
      <c r="S15" s="653" t="str">
        <f>IF($E15=0," ",'t13'!R15/$E15)</f>
        <v> </v>
      </c>
      <c r="T15" s="653" t="str">
        <f>IF($E15=0," ",'t13'!S15/$E15)</f>
        <v> </v>
      </c>
    </row>
    <row r="16" spans="1:25" s="108" customFormat="1" ht="11.25">
      <c r="A16" s="137" t="str">
        <f>'t1'!A16</f>
        <v>PROFESSORI DI SECONDA FASCIA TEMPO DET.ANNUALE</v>
      </c>
      <c r="B16" s="326" t="str">
        <f>'t1'!B16</f>
        <v>016PD2</v>
      </c>
      <c r="C16" s="649">
        <f>'t1'!L16+'t1'!M16</f>
        <v>6</v>
      </c>
      <c r="D16" s="649">
        <f>('t1'!L16+'t1'!M16)-SUM('t3'!C16:F16,'t3'!I16:L16)+SUM('t3'!M16:P16)</f>
        <v>6</v>
      </c>
      <c r="E16" s="650">
        <f>'t12'!C16/12</f>
        <v>0</v>
      </c>
      <c r="F16" s="650">
        <f>IF($D16&gt;0,(('t11'!C18+'t11'!D18)/$D16)," ")</f>
        <v>16.33</v>
      </c>
      <c r="G16" s="650">
        <f>IF($D16&gt;0,(SUM('t11'!E18:N18)/$D16)," ")</f>
        <v>1.17</v>
      </c>
      <c r="H16" s="650">
        <f>IF($D16&gt;0,(SUM('t11'!O18:R18)/$D16)," ")</f>
        <v>0.33</v>
      </c>
      <c r="I16" s="651" t="str">
        <f>IF($E16=0," ",('t12'!D16+'t12'!G16)/$E16)</f>
        <v> </v>
      </c>
      <c r="J16" s="651" t="str">
        <f>IF($E16=0," ",'t12'!E16/$E16)</f>
        <v> </v>
      </c>
      <c r="K16" s="651" t="str">
        <f>IF($E16=0," ",'t12'!F16/$E16)</f>
        <v> </v>
      </c>
      <c r="L16" s="652">
        <f t="shared" si="0"/>
        <v>0</v>
      </c>
      <c r="M16" s="653" t="str">
        <f>IF($E16=0," ",'t12'!H16/$E16)</f>
        <v> </v>
      </c>
      <c r="N16" s="653" t="str">
        <f>IF($E16=0," ",'t12'!I16/$E16)</f>
        <v> </v>
      </c>
      <c r="O16" s="651" t="str">
        <f>IF($E16=0," ",'t13'!U16/$E16)</f>
        <v> </v>
      </c>
      <c r="P16" s="651" t="str">
        <f>IF($E16=0," ",SUM('t13'!C16:K16)/$E16)</f>
        <v> </v>
      </c>
      <c r="Q16" s="651" t="str">
        <f>IF($E16=0," ",(SUM('t13'!L16:Q16)+'t13'!T16)/$E16)</f>
        <v> </v>
      </c>
      <c r="R16" s="652">
        <f t="shared" si="1"/>
        <v>0</v>
      </c>
      <c r="S16" s="653" t="str">
        <f>IF($E16=0," ",'t13'!R16/$E16)</f>
        <v> </v>
      </c>
      <c r="T16" s="653" t="str">
        <f>IF($E16=0," ",'t13'!S16/$E16)</f>
        <v> </v>
      </c>
      <c r="V16"/>
      <c r="W16"/>
      <c r="X16"/>
      <c r="Y16"/>
    </row>
    <row r="17" spans="1:25" s="108" customFormat="1" ht="11.25">
      <c r="A17" s="137" t="str">
        <f>'t1'!A17</f>
        <v>PROFESSORI DI PRIMA FASCIA T. DET. TERMINE ATTIV DIDATT</v>
      </c>
      <c r="B17" s="326" t="str">
        <f>'t1'!B17</f>
        <v>018DD1</v>
      </c>
      <c r="C17" s="649">
        <f>'t1'!L17+'t1'!M17</f>
        <v>0</v>
      </c>
      <c r="D17" s="649">
        <f>('t1'!L17+'t1'!M17)-SUM('t3'!C17:F17,'t3'!I17:L17)+SUM('t3'!M17:P17)</f>
        <v>0</v>
      </c>
      <c r="E17" s="650">
        <f>'t12'!C17/12</f>
        <v>0</v>
      </c>
      <c r="F17" s="650" t="str">
        <f>IF($D17&gt;0,(('t11'!C19+'t11'!D19)/$D17)," ")</f>
        <v> </v>
      </c>
      <c r="G17" s="650" t="str">
        <f>IF($D17&gt;0,(SUM('t11'!E19:N19)/$D17)," ")</f>
        <v> </v>
      </c>
      <c r="H17" s="650" t="str">
        <f>IF($D17&gt;0,(SUM('t11'!O19:R19)/$D17)," ")</f>
        <v> </v>
      </c>
      <c r="I17" s="651" t="str">
        <f>IF($E17=0," ",('t12'!D17+'t12'!G17)/$E17)</f>
        <v> </v>
      </c>
      <c r="J17" s="651" t="str">
        <f>IF($E17=0," ",'t12'!E17/$E17)</f>
        <v> </v>
      </c>
      <c r="K17" s="651" t="str">
        <f>IF($E17=0," ",'t12'!F17/$E17)</f>
        <v> </v>
      </c>
      <c r="L17" s="652">
        <f t="shared" si="0"/>
        <v>0</v>
      </c>
      <c r="M17" s="653" t="str">
        <f>IF($E17=0," ",'t12'!H17/$E17)</f>
        <v> </v>
      </c>
      <c r="N17" s="653" t="str">
        <f>IF($E17=0," ",'t12'!I17/$E17)</f>
        <v> </v>
      </c>
      <c r="O17" s="651" t="str">
        <f>IF($E17=0," ",'t13'!U17/$E17)</f>
        <v> </v>
      </c>
      <c r="P17" s="651" t="str">
        <f>IF($E17=0," ",SUM('t13'!C17:K17)/$E17)</f>
        <v> </v>
      </c>
      <c r="Q17" s="651" t="str">
        <f>IF($E17=0," ",(SUM('t13'!L17:Q17)+'t13'!T17)/$E17)</f>
        <v> </v>
      </c>
      <c r="R17" s="652">
        <f t="shared" si="1"/>
        <v>0</v>
      </c>
      <c r="S17" s="653" t="str">
        <f>IF($E17=0," ",'t13'!R17/$E17)</f>
        <v> </v>
      </c>
      <c r="T17" s="653" t="str">
        <f>IF($E17=0," ",'t13'!S17/$E17)</f>
        <v> </v>
      </c>
      <c r="V17"/>
      <c r="W17"/>
      <c r="X17"/>
      <c r="Y17"/>
    </row>
    <row r="18" spans="1:25" s="108" customFormat="1" ht="11.25">
      <c r="A18" s="137" t="str">
        <f>'t1'!A18</f>
        <v>PROFESSORI DI SECONDA FASCIA T. DET. TERMINE ATTIV DIDATT</v>
      </c>
      <c r="B18" s="326" t="str">
        <f>'t1'!B18</f>
        <v>016DD2</v>
      </c>
      <c r="C18" s="649">
        <f>'t1'!L18+'t1'!M18</f>
        <v>0</v>
      </c>
      <c r="D18" s="649">
        <f>('t1'!L18+'t1'!M18)-SUM('t3'!C18:F18,'t3'!I18:L18)+SUM('t3'!M18:P18)</f>
        <v>0</v>
      </c>
      <c r="E18" s="650">
        <f>'t12'!C18/12</f>
        <v>0</v>
      </c>
      <c r="F18" s="650" t="str">
        <f>IF($D18&gt;0,(('t11'!C20+'t11'!D20)/$D18)," ")</f>
        <v> </v>
      </c>
      <c r="G18" s="650" t="str">
        <f>IF($D18&gt;0,(SUM('t11'!E20:N20)/$D18)," ")</f>
        <v> </v>
      </c>
      <c r="H18" s="650" t="str">
        <f>IF($D18&gt;0,(SUM('t11'!O20:R20)/$D18)," ")</f>
        <v> </v>
      </c>
      <c r="I18" s="651" t="str">
        <f>IF($E18=0," ",('t12'!D18+'t12'!G18)/$E18)</f>
        <v> </v>
      </c>
      <c r="J18" s="651" t="str">
        <f>IF($E18=0," ",'t12'!E18/$E18)</f>
        <v> </v>
      </c>
      <c r="K18" s="651" t="str">
        <f>IF($E18=0," ",'t12'!F18/$E18)</f>
        <v> </v>
      </c>
      <c r="L18" s="652">
        <f t="shared" si="0"/>
        <v>0</v>
      </c>
      <c r="M18" s="653" t="str">
        <f>IF($E18=0," ",'t12'!H18/$E18)</f>
        <v> </v>
      </c>
      <c r="N18" s="653" t="str">
        <f>IF($E18=0," ",'t12'!I18/$E18)</f>
        <v> </v>
      </c>
      <c r="O18" s="651" t="str">
        <f>IF($E18=0," ",'t13'!U18/$E18)</f>
        <v> </v>
      </c>
      <c r="P18" s="651" t="str">
        <f>IF($E18=0," ",SUM('t13'!C18:K18)/$E18)</f>
        <v> </v>
      </c>
      <c r="Q18" s="651" t="str">
        <f>IF($E18=0," ",(SUM('t13'!L18:Q18)+'t13'!T18)/$E18)</f>
        <v> </v>
      </c>
      <c r="R18" s="652">
        <f t="shared" si="1"/>
        <v>0</v>
      </c>
      <c r="S18" s="653" t="str">
        <f>IF($E18=0," ",'t13'!R18/$E18)</f>
        <v> </v>
      </c>
      <c r="T18" s="653" t="str">
        <f>IF($E18=0," ",'t13'!S18/$E18)</f>
        <v> </v>
      </c>
      <c r="V18"/>
      <c r="W18"/>
      <c r="X18"/>
      <c r="Y18"/>
    </row>
    <row r="19" spans="1:25" s="108" customFormat="1" ht="11.25">
      <c r="A19" s="137" t="str">
        <f>'t1'!A19</f>
        <v>DIRETTORE AMMINISTRATIVO TEMPO DET.ANNUALE (EP2)</v>
      </c>
      <c r="B19" s="326" t="str">
        <f>'t1'!B19</f>
        <v>013EP2</v>
      </c>
      <c r="C19" s="649">
        <f>'t1'!L19+'t1'!M19</f>
        <v>0</v>
      </c>
      <c r="D19" s="649">
        <f>('t1'!L19+'t1'!M19)-SUM('t3'!C19:F19,'t3'!I19:L19)+SUM('t3'!M19:P19)</f>
        <v>0</v>
      </c>
      <c r="E19" s="650">
        <f>'t12'!C19/12</f>
        <v>0</v>
      </c>
      <c r="F19" s="650" t="str">
        <f>IF($D19&gt;0,(('t11'!C21+'t11'!D21)/$D19)," ")</f>
        <v> </v>
      </c>
      <c r="G19" s="650" t="str">
        <f>IF($D19&gt;0,(SUM('t11'!E21:N21)/$D19)," ")</f>
        <v> </v>
      </c>
      <c r="H19" s="650" t="str">
        <f>IF($D19&gt;0,(SUM('t11'!O21:R21)/$D19)," ")</f>
        <v> </v>
      </c>
      <c r="I19" s="651" t="str">
        <f>IF($E19=0," ",('t12'!D19+'t12'!G19)/$E19)</f>
        <v> </v>
      </c>
      <c r="J19" s="651" t="str">
        <f>IF($E19=0," ",'t12'!E19/$E19)</f>
        <v> </v>
      </c>
      <c r="K19" s="651" t="str">
        <f>IF($E19=0," ",'t12'!F19/$E19)</f>
        <v> </v>
      </c>
      <c r="L19" s="652">
        <f t="shared" si="0"/>
        <v>0</v>
      </c>
      <c r="M19" s="653" t="str">
        <f>IF($E19=0," ",'t12'!H19/$E19)</f>
        <v> </v>
      </c>
      <c r="N19" s="653" t="str">
        <f>IF($E19=0," ",'t12'!I19/$E19)</f>
        <v> </v>
      </c>
      <c r="O19" s="651" t="str">
        <f>IF($E19=0," ",'t13'!U19/$E19)</f>
        <v> </v>
      </c>
      <c r="P19" s="651" t="str">
        <f>IF($E19=0," ",SUM('t13'!C19:K19)/$E19)</f>
        <v> </v>
      </c>
      <c r="Q19" s="651" t="str">
        <f>IF($E19=0," ",(SUM('t13'!L19:Q19)+'t13'!T19)/$E19)</f>
        <v> </v>
      </c>
      <c r="R19" s="652">
        <f t="shared" si="1"/>
        <v>0</v>
      </c>
      <c r="S19" s="653" t="str">
        <f>IF($E19=0," ",'t13'!R19/$E19)</f>
        <v> </v>
      </c>
      <c r="T19" s="653" t="str">
        <f>IF($E19=0," ",'t13'!S19/$E19)</f>
        <v> </v>
      </c>
      <c r="V19"/>
      <c r="W19"/>
      <c r="X19"/>
      <c r="Y19"/>
    </row>
    <row r="20" spans="1:25" s="108" customFormat="1" ht="11.25">
      <c r="A20" s="137" t="str">
        <f>'t1'!A20</f>
        <v>DIRETTORE DELL UFFICIO DI RAGIONERIA TEMPO DET.ANNUALE (EP1)</v>
      </c>
      <c r="B20" s="326" t="str">
        <f>'t1'!B20</f>
        <v>013160</v>
      </c>
      <c r="C20" s="649">
        <f>'t1'!L20+'t1'!M20</f>
        <v>0</v>
      </c>
      <c r="D20" s="649">
        <f>('t1'!L20+'t1'!M20)-SUM('t3'!C20:F20,'t3'!I20:L20)+SUM('t3'!M20:P20)</f>
        <v>0</v>
      </c>
      <c r="E20" s="650">
        <f>'t12'!C20/12</f>
        <v>0</v>
      </c>
      <c r="F20" s="650" t="str">
        <f>IF($D20&gt;0,(('t11'!C22+'t11'!D22)/$D20)," ")</f>
        <v> </v>
      </c>
      <c r="G20" s="650" t="str">
        <f>IF($D20&gt;0,(SUM('t11'!E22:N22)/$D20)," ")</f>
        <v> </v>
      </c>
      <c r="H20" s="650" t="str">
        <f>IF($D20&gt;0,(SUM('t11'!O22:R22)/$D20)," ")</f>
        <v> </v>
      </c>
      <c r="I20" s="651" t="str">
        <f>IF($E20=0," ",('t12'!D20+'t12'!G20)/$E20)</f>
        <v> </v>
      </c>
      <c r="J20" s="651" t="str">
        <f>IF($E20=0," ",'t12'!E20/$E20)</f>
        <v> </v>
      </c>
      <c r="K20" s="651" t="str">
        <f>IF($E20=0," ",'t12'!F20/$E20)</f>
        <v> </v>
      </c>
      <c r="L20" s="652">
        <f t="shared" si="0"/>
        <v>0</v>
      </c>
      <c r="M20" s="653" t="str">
        <f>IF($E20=0," ",'t12'!H20/$E20)</f>
        <v> </v>
      </c>
      <c r="N20" s="653" t="str">
        <f>IF($E20=0," ",'t12'!I20/$E20)</f>
        <v> </v>
      </c>
      <c r="O20" s="651" t="str">
        <f>IF($E20=0," ",'t13'!U20/$E20)</f>
        <v> </v>
      </c>
      <c r="P20" s="651" t="str">
        <f>IF($E20=0," ",SUM('t13'!C20:K20)/$E20)</f>
        <v> </v>
      </c>
      <c r="Q20" s="651" t="str">
        <f>IF($E20=0," ",(SUM('t13'!L20:Q20)+'t13'!T20)/$E20)</f>
        <v> </v>
      </c>
      <c r="R20" s="652">
        <f t="shared" si="1"/>
        <v>0</v>
      </c>
      <c r="S20" s="653" t="str">
        <f>IF($E20=0," ",'t13'!R20/$E20)</f>
        <v> </v>
      </c>
      <c r="T20" s="653" t="str">
        <f>IF($E20=0," ",'t13'!S20/$E20)</f>
        <v> </v>
      </c>
      <c r="V20"/>
      <c r="W20"/>
      <c r="X20"/>
      <c r="Y20"/>
    </row>
    <row r="21" spans="1:25" s="108" customFormat="1" ht="11.25">
      <c r="A21" s="137" t="str">
        <f>'t1'!A21</f>
        <v>DIRETTORE AMMINISTRATIVO T. DET. TERMINE ATTIV DIDATT(EP2)</v>
      </c>
      <c r="B21" s="326" t="str">
        <f>'t1'!B21</f>
        <v>013E2N</v>
      </c>
      <c r="C21" s="649">
        <f>'t1'!L21+'t1'!M21</f>
        <v>0</v>
      </c>
      <c r="D21" s="649">
        <f>('t1'!L21+'t1'!M21)-SUM('t3'!C21:F21,'t3'!I21:L21)+SUM('t3'!M21:P21)</f>
        <v>0</v>
      </c>
      <c r="E21" s="650">
        <f>'t12'!C21/12</f>
        <v>0</v>
      </c>
      <c r="F21" s="650" t="str">
        <f>IF($D21&gt;0,(('t11'!C23+'t11'!D23)/$D21)," ")</f>
        <v> </v>
      </c>
      <c r="G21" s="650" t="str">
        <f>IF($D21&gt;0,(SUM('t11'!E23:N23)/$D21)," ")</f>
        <v> </v>
      </c>
      <c r="H21" s="650" t="str">
        <f>IF($D21&gt;0,(SUM('t11'!O23:R23)/$D21)," ")</f>
        <v> </v>
      </c>
      <c r="I21" s="651" t="str">
        <f>IF($E21=0," ",('t12'!D21+'t12'!G21)/$E21)</f>
        <v> </v>
      </c>
      <c r="J21" s="651" t="str">
        <f>IF($E21=0," ",'t12'!E21/$E21)</f>
        <v> </v>
      </c>
      <c r="K21" s="651" t="str">
        <f>IF($E21=0," ",'t12'!F21/$E21)</f>
        <v> </v>
      </c>
      <c r="L21" s="652">
        <f t="shared" si="0"/>
        <v>0</v>
      </c>
      <c r="M21" s="653" t="str">
        <f>IF($E21=0," ",'t12'!H21/$E21)</f>
        <v> </v>
      </c>
      <c r="N21" s="653" t="str">
        <f>IF($E21=0," ",'t12'!I21/$E21)</f>
        <v> </v>
      </c>
      <c r="O21" s="651" t="str">
        <f>IF($E21=0," ",'t13'!U21/$E21)</f>
        <v> </v>
      </c>
      <c r="P21" s="651" t="str">
        <f>IF($E21=0," ",SUM('t13'!C21:K21)/$E21)</f>
        <v> </v>
      </c>
      <c r="Q21" s="651" t="str">
        <f>IF($E21=0," ",(SUM('t13'!L21:Q21)+'t13'!T21)/$E21)</f>
        <v> </v>
      </c>
      <c r="R21" s="652">
        <f t="shared" si="1"/>
        <v>0</v>
      </c>
      <c r="S21" s="653" t="str">
        <f>IF($E21=0," ",'t13'!R21/$E21)</f>
        <v> </v>
      </c>
      <c r="T21" s="653" t="str">
        <f>IF($E21=0," ",'t13'!S21/$E21)</f>
        <v> </v>
      </c>
      <c r="V21"/>
      <c r="W21"/>
      <c r="X21"/>
      <c r="Y21"/>
    </row>
    <row r="22" spans="1:25" s="108" customFormat="1" ht="11.25">
      <c r="A22" s="137" t="str">
        <f>'t1'!A22</f>
        <v>DIRETTORE UFF. RAGIONERIA T. DET. TERM. ATTIV DIDATT(EP1)</v>
      </c>
      <c r="B22" s="326" t="str">
        <f>'t1'!B22</f>
        <v>013E1N</v>
      </c>
      <c r="C22" s="649">
        <f>'t1'!L22+'t1'!M22</f>
        <v>0</v>
      </c>
      <c r="D22" s="649">
        <f>('t1'!L22+'t1'!M22)-SUM('t3'!C22:F22,'t3'!I22:L22)+SUM('t3'!M22:P22)</f>
        <v>0</v>
      </c>
      <c r="E22" s="650">
        <f>'t12'!C22/12</f>
        <v>0</v>
      </c>
      <c r="F22" s="650" t="str">
        <f>IF($D22&gt;0,(('t11'!C24+'t11'!D24)/$D22)," ")</f>
        <v> </v>
      </c>
      <c r="G22" s="650" t="str">
        <f>IF($D22&gt;0,(SUM('t11'!E24:N24)/$D22)," ")</f>
        <v> </v>
      </c>
      <c r="H22" s="650" t="str">
        <f>IF($D22&gt;0,(SUM('t11'!O24:R24)/$D22)," ")</f>
        <v> </v>
      </c>
      <c r="I22" s="651" t="str">
        <f>IF($E22=0," ",('t12'!D22+'t12'!G22)/$E22)</f>
        <v> </v>
      </c>
      <c r="J22" s="651" t="str">
        <f>IF($E22=0," ",'t12'!E22/$E22)</f>
        <v> </v>
      </c>
      <c r="K22" s="651" t="str">
        <f>IF($E22=0," ",'t12'!F22/$E22)</f>
        <v> </v>
      </c>
      <c r="L22" s="652">
        <f t="shared" si="0"/>
        <v>0</v>
      </c>
      <c r="M22" s="653" t="str">
        <f>IF($E22=0," ",'t12'!H22/$E22)</f>
        <v> </v>
      </c>
      <c r="N22" s="653" t="str">
        <f>IF($E22=0," ",'t12'!I22/$E22)</f>
        <v> </v>
      </c>
      <c r="O22" s="651" t="str">
        <f>IF($E22=0," ",'t13'!U22/$E22)</f>
        <v> </v>
      </c>
      <c r="P22" s="651" t="str">
        <f>IF($E22=0," ",SUM('t13'!C22:K22)/$E22)</f>
        <v> </v>
      </c>
      <c r="Q22" s="651" t="str">
        <f>IF($E22=0," ",(SUM('t13'!L22:Q22)+'t13'!T22)/$E22)</f>
        <v> </v>
      </c>
      <c r="R22" s="652">
        <f t="shared" si="1"/>
        <v>0</v>
      </c>
      <c r="S22" s="653" t="str">
        <f>IF($E22=0," ",'t13'!R22/$E22)</f>
        <v> </v>
      </c>
      <c r="T22" s="653" t="str">
        <f>IF($E22=0," ",'t13'!S22/$E22)</f>
        <v> </v>
      </c>
      <c r="V22"/>
      <c r="W22"/>
      <c r="X22"/>
      <c r="Y22"/>
    </row>
    <row r="23" spans="1:25" s="108" customFormat="1" ht="11.25">
      <c r="A23" s="137" t="str">
        <f>'t1'!A23</f>
        <v>COORD. DI BIBLIOT., COORD. TEC. E AMM. TEMPO DET.ANNUALE</v>
      </c>
      <c r="B23" s="326" t="str">
        <f>'t1'!B23</f>
        <v>013DDE</v>
      </c>
      <c r="C23" s="649">
        <f>'t1'!L23+'t1'!M23</f>
        <v>0</v>
      </c>
      <c r="D23" s="649">
        <f>('t1'!L23+'t1'!M23)-SUM('t3'!C23:F23,'t3'!I23:L23)+SUM('t3'!M23:P23)</f>
        <v>0</v>
      </c>
      <c r="E23" s="650">
        <f>'t12'!C23/12</f>
        <v>0</v>
      </c>
      <c r="F23" s="650" t="str">
        <f>IF($D23&gt;0,(('t11'!C25+'t11'!D25)/$D23)," ")</f>
        <v> </v>
      </c>
      <c r="G23" s="650" t="str">
        <f>IF($D23&gt;0,(SUM('t11'!E25:N25)/$D23)," ")</f>
        <v> </v>
      </c>
      <c r="H23" s="650" t="str">
        <f>IF($D23&gt;0,(SUM('t11'!O25:R25)/$D23)," ")</f>
        <v> </v>
      </c>
      <c r="I23" s="651" t="str">
        <f>IF($E23=0," ",('t12'!D23+'t12'!G23)/$E23)</f>
        <v> </v>
      </c>
      <c r="J23" s="651" t="str">
        <f>IF($E23=0," ",'t12'!E23/$E23)</f>
        <v> </v>
      </c>
      <c r="K23" s="651" t="str">
        <f>IF($E23=0," ",'t12'!F23/$E23)</f>
        <v> </v>
      </c>
      <c r="L23" s="652">
        <f t="shared" si="0"/>
        <v>0</v>
      </c>
      <c r="M23" s="653" t="str">
        <f>IF($E23=0," ",'t12'!H23/$E23)</f>
        <v> </v>
      </c>
      <c r="N23" s="653" t="str">
        <f>IF($E23=0," ",'t12'!I23/$E23)</f>
        <v> </v>
      </c>
      <c r="O23" s="651" t="str">
        <f>IF($E23=0," ",'t13'!U23/$E23)</f>
        <v> </v>
      </c>
      <c r="P23" s="651" t="str">
        <f>IF($E23=0," ",SUM('t13'!C23:K23)/$E23)</f>
        <v> </v>
      </c>
      <c r="Q23" s="651" t="str">
        <f>IF($E23=0," ",(SUM('t13'!L23:Q23)+'t13'!T23)/$E23)</f>
        <v> </v>
      </c>
      <c r="R23" s="652">
        <f t="shared" si="1"/>
        <v>0</v>
      </c>
      <c r="S23" s="653" t="str">
        <f>IF($E23=0," ",'t13'!R23/$E23)</f>
        <v> </v>
      </c>
      <c r="T23" s="653" t="str">
        <f>IF($E23=0," ",'t13'!S23/$E23)</f>
        <v> </v>
      </c>
      <c r="V23"/>
      <c r="W23"/>
      <c r="X23"/>
      <c r="Y23"/>
    </row>
    <row r="24" spans="1:25" s="108" customFormat="1" ht="11.25">
      <c r="A24" s="137" t="str">
        <f>'t1'!A24</f>
        <v>COLLAB. TEC. AMMIN. DI BIBLIOT. E DI LAB. TEMPO DET.ANNUALE</v>
      </c>
      <c r="B24" s="326" t="str">
        <f>'t1'!B24</f>
        <v>013CDE</v>
      </c>
      <c r="C24" s="649">
        <f>'t1'!L24+'t1'!M24</f>
        <v>0</v>
      </c>
      <c r="D24" s="649">
        <f>('t1'!L24+'t1'!M24)-SUM('t3'!C24:F24,'t3'!I24:L24)+SUM('t3'!M24:P24)</f>
        <v>0</v>
      </c>
      <c r="E24" s="650">
        <f>'t12'!C24/12</f>
        <v>0</v>
      </c>
      <c r="F24" s="650" t="str">
        <f>IF($D24&gt;0,(('t11'!C26+'t11'!D26)/$D24)," ")</f>
        <v> </v>
      </c>
      <c r="G24" s="650" t="str">
        <f>IF($D24&gt;0,(SUM('t11'!E26:N26)/$D24)," ")</f>
        <v> </v>
      </c>
      <c r="H24" s="650" t="str">
        <f>IF($D24&gt;0,(SUM('t11'!O26:R26)/$D24)," ")</f>
        <v> </v>
      </c>
      <c r="I24" s="651" t="str">
        <f>IF($E24=0," ",('t12'!D24+'t12'!G24)/$E24)</f>
        <v> </v>
      </c>
      <c r="J24" s="651" t="str">
        <f>IF($E24=0," ",'t12'!E24/$E24)</f>
        <v> </v>
      </c>
      <c r="K24" s="651" t="str">
        <f>IF($E24=0," ",'t12'!F24/$E24)</f>
        <v> </v>
      </c>
      <c r="L24" s="652">
        <f t="shared" si="0"/>
        <v>0</v>
      </c>
      <c r="M24" s="653" t="str">
        <f>IF($E24=0," ",'t12'!H24/$E24)</f>
        <v> </v>
      </c>
      <c r="N24" s="653" t="str">
        <f>IF($E24=0," ",'t12'!I24/$E24)</f>
        <v> </v>
      </c>
      <c r="O24" s="651" t="str">
        <f>IF($E24=0," ",'t13'!U24/$E24)</f>
        <v> </v>
      </c>
      <c r="P24" s="651" t="str">
        <f>IF($E24=0," ",SUM('t13'!C24:K24)/$E24)</f>
        <v> </v>
      </c>
      <c r="Q24" s="651" t="str">
        <f>IF($E24=0," ",(SUM('t13'!L24:Q24)+'t13'!T24)/$E24)</f>
        <v> </v>
      </c>
      <c r="R24" s="652">
        <f t="shared" si="1"/>
        <v>0</v>
      </c>
      <c r="S24" s="653" t="str">
        <f>IF($E24=0," ",'t13'!R24/$E24)</f>
        <v> </v>
      </c>
      <c r="T24" s="653" t="str">
        <f>IF($E24=0," ",'t13'!S24/$E24)</f>
        <v> </v>
      </c>
      <c r="V24"/>
      <c r="W24"/>
      <c r="X24"/>
      <c r="Y24"/>
    </row>
    <row r="25" spans="1:25" s="108" customFormat="1" ht="11.25">
      <c r="A25" s="137" t="str">
        <f>'t1'!A25</f>
        <v>ASSIST. AMMINISTRATIVO TEMPO DET.ANNUALE</v>
      </c>
      <c r="B25" s="326" t="str">
        <f>'t1'!B25</f>
        <v>012118</v>
      </c>
      <c r="C25" s="649">
        <f>'t1'!L25+'t1'!M25</f>
        <v>1</v>
      </c>
      <c r="D25" s="649">
        <f>('t1'!L25+'t1'!M25)-SUM('t3'!C25:F25,'t3'!I25:L25)+SUM('t3'!M25:P25)</f>
        <v>1</v>
      </c>
      <c r="E25" s="650">
        <f>'t12'!C25/12</f>
        <v>0</v>
      </c>
      <c r="F25" s="650">
        <f>IF($D25&gt;0,(('t11'!C27+'t11'!D27)/$D25)," ")</f>
        <v>27</v>
      </c>
      <c r="G25" s="650">
        <f>IF($D25&gt;0,(SUM('t11'!E27:N27)/$D25)," ")</f>
        <v>0</v>
      </c>
      <c r="H25" s="650">
        <f>IF($D25&gt;0,(SUM('t11'!O27:R27)/$D25)," ")</f>
        <v>0</v>
      </c>
      <c r="I25" s="651" t="str">
        <f>IF($E25=0," ",('t12'!D25+'t12'!G25)/$E25)</f>
        <v> </v>
      </c>
      <c r="J25" s="651" t="str">
        <f>IF($E25=0," ",'t12'!E25/$E25)</f>
        <v> </v>
      </c>
      <c r="K25" s="651" t="str">
        <f>IF($E25=0," ",'t12'!F25/$E25)</f>
        <v> </v>
      </c>
      <c r="L25" s="652">
        <f t="shared" si="0"/>
        <v>0</v>
      </c>
      <c r="M25" s="653" t="str">
        <f>IF($E25=0," ",'t12'!H25/$E25)</f>
        <v> </v>
      </c>
      <c r="N25" s="653" t="str">
        <f>IF($E25=0," ",'t12'!I25/$E25)</f>
        <v> </v>
      </c>
      <c r="O25" s="651" t="str">
        <f>IF($E25=0," ",'t13'!U25/$E25)</f>
        <v> </v>
      </c>
      <c r="P25" s="651" t="str">
        <f>IF($E25=0," ",SUM('t13'!C25:K25)/$E25)</f>
        <v> </v>
      </c>
      <c r="Q25" s="651" t="str">
        <f>IF($E25=0," ",(SUM('t13'!L25:Q25)+'t13'!T25)/$E25)</f>
        <v> </v>
      </c>
      <c r="R25" s="652">
        <f t="shared" si="1"/>
        <v>0</v>
      </c>
      <c r="S25" s="653" t="str">
        <f>IF($E25=0," ",'t13'!R25/$E25)</f>
        <v> </v>
      </c>
      <c r="T25" s="653" t="str">
        <f>IF($E25=0," ",'t13'!S25/$E25)</f>
        <v> </v>
      </c>
      <c r="V25"/>
      <c r="W25"/>
      <c r="X25"/>
      <c r="Y25"/>
    </row>
    <row r="26" spans="1:25" s="108" customFormat="1" ht="11.25">
      <c r="A26" s="137" t="str">
        <f>'t1'!A26</f>
        <v>COADIUTORE TEMPO DET.ANNUALE</v>
      </c>
      <c r="B26" s="326" t="str">
        <f>'t1'!B26</f>
        <v>011124</v>
      </c>
      <c r="C26" s="649">
        <f>'t1'!L26+'t1'!M26</f>
        <v>4</v>
      </c>
      <c r="D26" s="649">
        <f>('t1'!L26+'t1'!M26)-SUM('t3'!C26:F26,'t3'!I26:L26)+SUM('t3'!M26:P26)</f>
        <v>4</v>
      </c>
      <c r="E26" s="650">
        <f>'t12'!C26/12</f>
        <v>0</v>
      </c>
      <c r="F26" s="650">
        <f>IF($D26&gt;0,(('t11'!C28+'t11'!D28)/$D26)," ")</f>
        <v>23.5</v>
      </c>
      <c r="G26" s="650">
        <f>IF($D26&gt;0,(SUM('t11'!E28:N28)/$D26)," ")</f>
        <v>8.25</v>
      </c>
      <c r="H26" s="650">
        <f>IF($D26&gt;0,(SUM('t11'!O28:R28)/$D26)," ")</f>
        <v>0</v>
      </c>
      <c r="I26" s="651" t="str">
        <f>IF($E26=0," ",('t12'!D26+'t12'!G26)/$E26)</f>
        <v> </v>
      </c>
      <c r="J26" s="651" t="str">
        <f>IF($E26=0," ",'t12'!E26/$E26)</f>
        <v> </v>
      </c>
      <c r="K26" s="651" t="str">
        <f>IF($E26=0," ",'t12'!F26/$E26)</f>
        <v> </v>
      </c>
      <c r="L26" s="652">
        <f t="shared" si="0"/>
        <v>0</v>
      </c>
      <c r="M26" s="653" t="str">
        <f>IF($E26=0," ",'t12'!H26/$E26)</f>
        <v> </v>
      </c>
      <c r="N26" s="653" t="str">
        <f>IF($E26=0," ",'t12'!I26/$E26)</f>
        <v> </v>
      </c>
      <c r="O26" s="651" t="str">
        <f>IF($E26=0," ",'t13'!U26/$E26)</f>
        <v> </v>
      </c>
      <c r="P26" s="651" t="str">
        <f>IF($E26=0," ",SUM('t13'!C26:K26)/$E26)</f>
        <v> </v>
      </c>
      <c r="Q26" s="651" t="str">
        <f>IF($E26=0," ",(SUM('t13'!L26:Q26)+'t13'!T26)/$E26)</f>
        <v> </v>
      </c>
      <c r="R26" s="652">
        <f t="shared" si="1"/>
        <v>0</v>
      </c>
      <c r="S26" s="653" t="str">
        <f>IF($E26=0," ",'t13'!R26/$E26)</f>
        <v> </v>
      </c>
      <c r="T26" s="653" t="str">
        <f>IF($E26=0," ",'t13'!S26/$E26)</f>
        <v> </v>
      </c>
      <c r="V26"/>
      <c r="W26"/>
      <c r="X26"/>
      <c r="Y26"/>
    </row>
    <row r="27" spans="1:25" s="108" customFormat="1" ht="11.25">
      <c r="A27" s="137" t="str">
        <f>'t1'!A27</f>
        <v>COORD. BIBL., COORD. TEC. E AMM. T. DET. TERM. ATTIV DIDATT</v>
      </c>
      <c r="B27" s="326" t="str">
        <f>'t1'!B27</f>
        <v>013DDN</v>
      </c>
      <c r="C27" s="649">
        <f>'t1'!L27+'t1'!M27</f>
        <v>0</v>
      </c>
      <c r="D27" s="649">
        <f>('t1'!L27+'t1'!M27)-SUM('t3'!C27:F27,'t3'!I27:L27)+SUM('t3'!M27:P27)</f>
        <v>0</v>
      </c>
      <c r="E27" s="650">
        <f>'t12'!C27/12</f>
        <v>0</v>
      </c>
      <c r="F27" s="650" t="str">
        <f>IF($D27&gt;0,(('t11'!C29+'t11'!D29)/$D27)," ")</f>
        <v> </v>
      </c>
      <c r="G27" s="650" t="str">
        <f>IF($D27&gt;0,(SUM('t11'!E29:N29)/$D27)," ")</f>
        <v> </v>
      </c>
      <c r="H27" s="650" t="str">
        <f>IF($D27&gt;0,(SUM('t11'!O29:R29)/$D27)," ")</f>
        <v> </v>
      </c>
      <c r="I27" s="651" t="str">
        <f>IF($E27=0," ",('t12'!D27+'t12'!G27)/$E27)</f>
        <v> </v>
      </c>
      <c r="J27" s="651" t="str">
        <f>IF($E27=0," ",'t12'!E27/$E27)</f>
        <v> </v>
      </c>
      <c r="K27" s="651" t="str">
        <f>IF($E27=0," ",'t12'!F27/$E27)</f>
        <v> </v>
      </c>
      <c r="L27" s="652">
        <f t="shared" si="0"/>
        <v>0</v>
      </c>
      <c r="M27" s="653" t="str">
        <f>IF($E27=0," ",'t12'!H27/$E27)</f>
        <v> </v>
      </c>
      <c r="N27" s="653" t="str">
        <f>IF($E27=0," ",'t12'!I27/$E27)</f>
        <v> </v>
      </c>
      <c r="O27" s="651" t="str">
        <f>IF($E27=0," ",'t13'!U27/$E27)</f>
        <v> </v>
      </c>
      <c r="P27" s="651" t="str">
        <f>IF($E27=0," ",SUM('t13'!C27:K27)/$E27)</f>
        <v> </v>
      </c>
      <c r="Q27" s="651" t="str">
        <f>IF($E27=0," ",(SUM('t13'!L27:Q27)+'t13'!T27)/$E27)</f>
        <v> </v>
      </c>
      <c r="R27" s="652">
        <f t="shared" si="1"/>
        <v>0</v>
      </c>
      <c r="S27" s="653" t="str">
        <f>IF($E27=0," ",'t13'!R27/$E27)</f>
        <v> </v>
      </c>
      <c r="T27" s="653" t="str">
        <f>IF($E27=0," ",'t13'!S27/$E27)</f>
        <v> </v>
      </c>
      <c r="V27"/>
      <c r="W27"/>
      <c r="X27"/>
      <c r="Y27"/>
    </row>
    <row r="28" spans="1:25" s="108" customFormat="1" ht="11.25">
      <c r="A28" s="137" t="str">
        <f>'t1'!A28</f>
        <v>COLLAB. TEC. AMM. BIBL. E DI LAB. T. D. TERM. ATTIV DIDATT</v>
      </c>
      <c r="B28" s="326" t="str">
        <f>'t1'!B28</f>
        <v>013CDN</v>
      </c>
      <c r="C28" s="649">
        <f>'t1'!L28+'t1'!M28</f>
        <v>0</v>
      </c>
      <c r="D28" s="649">
        <f>('t1'!L28+'t1'!M28)-SUM('t3'!C28:F28,'t3'!I28:L28)+SUM('t3'!M28:P28)</f>
        <v>0</v>
      </c>
      <c r="E28" s="650">
        <f>'t12'!C28/12</f>
        <v>0</v>
      </c>
      <c r="F28" s="650" t="str">
        <f>IF($D28&gt;0,(('t11'!C30+'t11'!D30)/$D28)," ")</f>
        <v> </v>
      </c>
      <c r="G28" s="650" t="str">
        <f>IF($D28&gt;0,(SUM('t11'!E30:N30)/$D28)," ")</f>
        <v> </v>
      </c>
      <c r="H28" s="650" t="str">
        <f>IF($D28&gt;0,(SUM('t11'!O30:R30)/$D28)," ")</f>
        <v> </v>
      </c>
      <c r="I28" s="651" t="str">
        <f>IF($E28=0," ",('t12'!D28+'t12'!G28)/$E28)</f>
        <v> </v>
      </c>
      <c r="J28" s="651" t="str">
        <f>IF($E28=0," ",'t12'!E28/$E28)</f>
        <v> </v>
      </c>
      <c r="K28" s="651" t="str">
        <f>IF($E28=0," ",'t12'!F28/$E28)</f>
        <v> </v>
      </c>
      <c r="L28" s="652">
        <f t="shared" si="0"/>
        <v>0</v>
      </c>
      <c r="M28" s="653" t="str">
        <f>IF($E28=0," ",'t12'!H28/$E28)</f>
        <v> </v>
      </c>
      <c r="N28" s="653" t="str">
        <f>IF($E28=0," ",'t12'!I28/$E28)</f>
        <v> </v>
      </c>
      <c r="O28" s="651" t="str">
        <f>IF($E28=0," ",'t13'!U28/$E28)</f>
        <v> </v>
      </c>
      <c r="P28" s="651" t="str">
        <f>IF($E28=0," ",SUM('t13'!C28:K28)/$E28)</f>
        <v> </v>
      </c>
      <c r="Q28" s="651" t="str">
        <f>IF($E28=0," ",(SUM('t13'!L28:Q28)+'t13'!T28)/$E28)</f>
        <v> </v>
      </c>
      <c r="R28" s="652">
        <f t="shared" si="1"/>
        <v>0</v>
      </c>
      <c r="S28" s="653" t="str">
        <f>IF($E28=0," ",'t13'!R28/$E28)</f>
        <v> </v>
      </c>
      <c r="T28" s="653" t="str">
        <f>IF($E28=0," ",'t13'!S28/$E28)</f>
        <v> </v>
      </c>
      <c r="V28"/>
      <c r="W28"/>
      <c r="X28"/>
      <c r="Y28"/>
    </row>
    <row r="29" spans="1:25" s="108" customFormat="1" ht="11.25">
      <c r="A29" s="137" t="str">
        <f>'t1'!A29</f>
        <v>ASSISTENTE AMMINISTRATIVO TEM.DET. TERMINE ATTIV DIDATT</v>
      </c>
      <c r="B29" s="326" t="str">
        <f>'t1'!B29</f>
        <v>016509</v>
      </c>
      <c r="C29" s="649">
        <f>'t1'!L29+'t1'!M29</f>
        <v>0</v>
      </c>
      <c r="D29" s="649">
        <f>('t1'!L29+'t1'!M29)-SUM('t3'!C29:F29,'t3'!I29:L29)+SUM('t3'!M29:P29)</f>
        <v>0</v>
      </c>
      <c r="E29" s="650">
        <f>'t12'!C29/12</f>
        <v>0</v>
      </c>
      <c r="F29" s="650" t="str">
        <f>IF($D29&gt;0,(('t11'!C31+'t11'!D31)/$D29)," ")</f>
        <v> </v>
      </c>
      <c r="G29" s="650" t="str">
        <f>IF($D29&gt;0,(SUM('t11'!E31:N31)/$D29)," ")</f>
        <v> </v>
      </c>
      <c r="H29" s="650" t="str">
        <f>IF($D29&gt;0,(SUM('t11'!O31:R31)/$D29)," ")</f>
        <v> </v>
      </c>
      <c r="I29" s="651" t="str">
        <f>IF($E29=0," ",('t12'!D29+'t12'!G29)/$E29)</f>
        <v> </v>
      </c>
      <c r="J29" s="651" t="str">
        <f>IF($E29=0," ",'t12'!E29/$E29)</f>
        <v> </v>
      </c>
      <c r="K29" s="651" t="str">
        <f>IF($E29=0," ",'t12'!F29/$E29)</f>
        <v> </v>
      </c>
      <c r="L29" s="652">
        <f t="shared" si="0"/>
        <v>0</v>
      </c>
      <c r="M29" s="653" t="str">
        <f>IF($E29=0," ",'t12'!H29/$E29)</f>
        <v> </v>
      </c>
      <c r="N29" s="653" t="str">
        <f>IF($E29=0," ",'t12'!I29/$E29)</f>
        <v> </v>
      </c>
      <c r="O29" s="651" t="str">
        <f>IF($E29=0," ",'t13'!U29/$E29)</f>
        <v> </v>
      </c>
      <c r="P29" s="651" t="str">
        <f>IF($E29=0," ",SUM('t13'!C29:K29)/$E29)</f>
        <v> </v>
      </c>
      <c r="Q29" s="651" t="str">
        <f>IF($E29=0," ",(SUM('t13'!L29:Q29)+'t13'!T29)/$E29)</f>
        <v> </v>
      </c>
      <c r="R29" s="652">
        <f t="shared" si="1"/>
        <v>0</v>
      </c>
      <c r="S29" s="653" t="str">
        <f>IF($E29=0," ",'t13'!R29/$E29)</f>
        <v> </v>
      </c>
      <c r="T29" s="653" t="str">
        <f>IF($E29=0," ",'t13'!S29/$E29)</f>
        <v> </v>
      </c>
      <c r="V29"/>
      <c r="W29"/>
      <c r="X29"/>
      <c r="Y29"/>
    </row>
    <row r="30" spans="1:25" s="108" customFormat="1" ht="11.25">
      <c r="A30" s="137" t="str">
        <f>'t1'!A30</f>
        <v>COADIUTORE TEMPO DET. TERMINE ATTIV DIDATT</v>
      </c>
      <c r="B30" s="326" t="str">
        <f>'t1'!B30</f>
        <v>011CNA</v>
      </c>
      <c r="C30" s="649">
        <f>'t1'!L30+'t1'!M30</f>
        <v>0</v>
      </c>
      <c r="D30" s="649">
        <f>('t1'!L30+'t1'!M30)-SUM('t3'!C30:F30,'t3'!I30:L30)+SUM('t3'!M30:P30)</f>
        <v>0</v>
      </c>
      <c r="E30" s="650">
        <f>'t12'!C30/12</f>
        <v>0</v>
      </c>
      <c r="F30" s="650" t="str">
        <f>IF($D30&gt;0,(('t11'!C32+'t11'!D32)/$D30)," ")</f>
        <v> </v>
      </c>
      <c r="G30" s="650" t="str">
        <f>IF($D30&gt;0,(SUM('t11'!E32:N32)/$D30)," ")</f>
        <v> </v>
      </c>
      <c r="H30" s="650" t="str">
        <f>IF($D30&gt;0,(SUM('t11'!O32:R32)/$D30)," ")</f>
        <v> </v>
      </c>
      <c r="I30" s="651" t="str">
        <f>IF($E30=0," ",('t12'!D30+'t12'!G30)/$E30)</f>
        <v> </v>
      </c>
      <c r="J30" s="651" t="str">
        <f>IF($E30=0," ",'t12'!E30/$E30)</f>
        <v> </v>
      </c>
      <c r="K30" s="651" t="str">
        <f>IF($E30=0," ",'t12'!F30/$E30)</f>
        <v> </v>
      </c>
      <c r="L30" s="652">
        <f t="shared" si="0"/>
        <v>0</v>
      </c>
      <c r="M30" s="653" t="str">
        <f>IF($E30=0," ",'t12'!H30/$E30)</f>
        <v> </v>
      </c>
      <c r="N30" s="653" t="str">
        <f>IF($E30=0," ",'t12'!I30/$E30)</f>
        <v> </v>
      </c>
      <c r="O30" s="651" t="str">
        <f>IF($E30=0," ",'t13'!U30/$E30)</f>
        <v> </v>
      </c>
      <c r="P30" s="651" t="str">
        <f>IF($E30=0," ",SUM('t13'!C30:K30)/$E30)</f>
        <v> </v>
      </c>
      <c r="Q30" s="651" t="str">
        <f>IF($E30=0," ",(SUM('t13'!L30:Q30)+'t13'!T30)/$E30)</f>
        <v> </v>
      </c>
      <c r="R30" s="652">
        <f t="shared" si="1"/>
        <v>0</v>
      </c>
      <c r="S30" s="653" t="str">
        <f>IF($E30=0," ",'t13'!R30/$E30)</f>
        <v> </v>
      </c>
      <c r="T30" s="653" t="str">
        <f>IF($E30=0," ",'t13'!S30/$E30)</f>
        <v> </v>
      </c>
      <c r="V30"/>
      <c r="W30"/>
      <c r="X30"/>
      <c r="Y30"/>
    </row>
    <row r="32" ht="11.25">
      <c r="A32" s="5" t="str">
        <f>"(*)  Personale presente al 31/12/"&amp;'t1'!M1&amp;" di T1 - personale dell'amministrazione comandato/distaccato, fuori ruolo e in esonero di T3 + personale esterno comandato/distaccato e fuori ruolo di T3"</f>
        <v>(*)  Personale presente al 31/12/2016 di T1 - personale dell'amministrazione comandato/distaccato, fuori ruolo e in esonero di T3 + personale esterno comandato/distaccato e fuori ruolo di T3</v>
      </c>
    </row>
    <row r="33" ht="11.25">
      <c r="A33" s="5" t="s">
        <v>455</v>
      </c>
    </row>
  </sheetData>
  <sheetProtection password="EA98" sheet="1" formatColumns="0" selectLockedCells="1" selectUnlockedCells="1"/>
  <mergeCells count="4">
    <mergeCell ref="A1:I1"/>
    <mergeCell ref="F4:H4"/>
    <mergeCell ref="I4:N4"/>
    <mergeCell ref="O4:T4"/>
  </mergeCells>
  <printOptions horizontalCentered="1" verticalCentered="1"/>
  <pageMargins left="0.1968503937007874" right="0.1968503937007874" top="0.1968503937007874" bottom="0.15748031496062992" header="0.15748031496062992" footer="0.15748031496062992"/>
  <pageSetup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2"/>
  <dimension ref="A1:T54"/>
  <sheetViews>
    <sheetView showGridLines="0" zoomScalePageLayoutView="0" workbookViewId="0" topLeftCell="A1">
      <pane ySplit="5" topLeftCell="A6" activePane="bottomLeft" state="frozen"/>
      <selection pane="topLeft" activeCell="E11" sqref="E11"/>
      <selection pane="bottomLeft" activeCell="E11" sqref="E11"/>
    </sheetView>
  </sheetViews>
  <sheetFormatPr defaultColWidth="9.33203125" defaultRowHeight="10.5"/>
  <cols>
    <col min="1" max="1" width="57.83203125" style="5" customWidth="1"/>
    <col min="2" max="2" width="10" style="7" bestFit="1" customWidth="1"/>
    <col min="3" max="7" width="13.33203125" style="7" customWidth="1"/>
    <col min="8" max="8" width="15" style="7" customWidth="1"/>
    <col min="9" max="10" width="13.33203125" style="7" customWidth="1"/>
    <col min="11" max="16384" width="9.33203125" style="5" customWidth="1"/>
  </cols>
  <sheetData>
    <row r="1" spans="1:13" ht="43.5" customHeight="1">
      <c r="A1" s="1155" t="str">
        <f>'t1'!A1</f>
        <v>COMPARTO AFAM - anno 2016</v>
      </c>
      <c r="B1" s="1155"/>
      <c r="C1" s="1155"/>
      <c r="D1" s="1155"/>
      <c r="E1" s="1155"/>
      <c r="F1" s="1155"/>
      <c r="G1" s="1155"/>
      <c r="H1" s="1155"/>
      <c r="I1" s="323"/>
      <c r="J1" s="320"/>
      <c r="K1" s="3"/>
      <c r="M1"/>
    </row>
    <row r="2" spans="2:13" ht="12.75" customHeight="1">
      <c r="B2" s="5"/>
      <c r="C2" s="5"/>
      <c r="D2" s="1237"/>
      <c r="E2" s="1237"/>
      <c r="F2" s="1237"/>
      <c r="G2" s="1237"/>
      <c r="H2" s="1237"/>
      <c r="I2" s="1237"/>
      <c r="J2" s="1237"/>
      <c r="K2" s="3"/>
      <c r="M2"/>
    </row>
    <row r="3" spans="1:2" s="197" customFormat="1" ht="21" customHeight="1">
      <c r="A3" s="197" t="str">
        <f>"Tavola di coerenza tra presenti al 31.12."&amp;'t1'!M1&amp;" e presenti al 31.12."&amp;'t1'!M1-1&amp;" (Squadratura 1)"</f>
        <v>Tavola di coerenza tra presenti al 31.12.2016 e presenti al 31.12.2015 (Squadratura 1)</v>
      </c>
      <c r="B3" s="322"/>
    </row>
    <row r="4" spans="1:10" ht="36.75" customHeight="1">
      <c r="A4" s="179" t="s">
        <v>207</v>
      </c>
      <c r="B4" s="180" t="s">
        <v>206</v>
      </c>
      <c r="C4" s="180" t="str">
        <f>"Presenti 31.12."&amp;'t1'!M1-1&amp;" (Tab 1)"</f>
        <v>Presenti 31.12.2015 (Tab 1)</v>
      </c>
      <c r="D4" s="180" t="s">
        <v>199</v>
      </c>
      <c r="E4" s="180" t="s">
        <v>254</v>
      </c>
      <c r="F4" s="180" t="s">
        <v>201</v>
      </c>
      <c r="G4" s="180" t="s">
        <v>200</v>
      </c>
      <c r="H4" s="180" t="str">
        <f>"Presenti 31.12."&amp;'t1'!M1&amp;" (Calcolati)"</f>
        <v>Presenti 31.12.2016 (Calcolati)</v>
      </c>
      <c r="I4" s="180" t="str">
        <f>"Presenti 31.12."&amp;'t1'!M1&amp;" (Tab 1)"</f>
        <v>Presenti 31.12.2016 (Tab 1)</v>
      </c>
      <c r="J4" s="180" t="s">
        <v>216</v>
      </c>
    </row>
    <row r="5" spans="1:10" ht="11.25">
      <c r="A5" s="749"/>
      <c r="B5" s="180"/>
      <c r="C5" s="186" t="s">
        <v>208</v>
      </c>
      <c r="D5" s="186" t="s">
        <v>209</v>
      </c>
      <c r="E5" s="186" t="s">
        <v>210</v>
      </c>
      <c r="F5" s="186" t="s">
        <v>211</v>
      </c>
      <c r="G5" s="186" t="s">
        <v>212</v>
      </c>
      <c r="H5" s="186" t="s">
        <v>213</v>
      </c>
      <c r="I5" s="186" t="s">
        <v>214</v>
      </c>
      <c r="J5" s="186" t="s">
        <v>215</v>
      </c>
    </row>
    <row r="6" spans="1:10" ht="12.75" customHeight="1">
      <c r="A6" s="750" t="str">
        <f>'t1'!A6</f>
        <v>DIRIGENTE SCOLASTICO</v>
      </c>
      <c r="B6" s="187" t="str">
        <f>'t1'!B6</f>
        <v>0D0158</v>
      </c>
      <c r="C6" s="348">
        <f>'t1'!C6+'t1'!D6</f>
        <v>0</v>
      </c>
      <c r="D6" s="348">
        <f>'t5'!S7+'t5'!T7</f>
        <v>0</v>
      </c>
      <c r="E6" s="349">
        <f>'t6'!U7+'t6'!V7</f>
        <v>0</v>
      </c>
      <c r="F6" s="349">
        <f>'t4'!AB6</f>
        <v>0</v>
      </c>
      <c r="G6" s="349">
        <f>'t4'!C31</f>
        <v>0</v>
      </c>
      <c r="H6" s="349">
        <f aca="true" t="shared" si="0" ref="H6:H14">C6-D6+E6-F6+G6</f>
        <v>0</v>
      </c>
      <c r="I6" s="349">
        <f>'t1'!L6+'t1'!M6</f>
        <v>0</v>
      </c>
      <c r="J6" s="101" t="str">
        <f aca="true" t="shared" si="1" ref="J6:J14">IF(H6=I6,"OK","ERRORE")</f>
        <v>OK</v>
      </c>
    </row>
    <row r="7" spans="1:10" ht="12.75" customHeight="1">
      <c r="A7" s="750" t="str">
        <f>'t1'!A7</f>
        <v>PROFESSORI DI PRIMA FASCIA</v>
      </c>
      <c r="B7" s="187" t="str">
        <f>'t1'!B7</f>
        <v>018P01</v>
      </c>
      <c r="C7" s="348">
        <f>'t1'!C7+'t1'!D7</f>
        <v>11</v>
      </c>
      <c r="D7" s="348">
        <f>'t5'!S8+'t5'!T8</f>
        <v>1</v>
      </c>
      <c r="E7" s="349">
        <f>'t6'!U8+'t6'!V8</f>
        <v>0</v>
      </c>
      <c r="F7" s="349">
        <f>'t4'!AB7</f>
        <v>0</v>
      </c>
      <c r="G7" s="349">
        <f>'t4'!D31</f>
        <v>0</v>
      </c>
      <c r="H7" s="349">
        <f t="shared" si="0"/>
        <v>10</v>
      </c>
      <c r="I7" s="349">
        <f>'t1'!L7+'t1'!M7</f>
        <v>9</v>
      </c>
      <c r="J7" s="101" t="str">
        <f t="shared" si="1"/>
        <v>ERRORE</v>
      </c>
    </row>
    <row r="8" spans="1:10" ht="12.75" customHeight="1">
      <c r="A8" s="750" t="str">
        <f>'t1'!A8</f>
        <v>PROFESSORI DI SECONDA FASCIA</v>
      </c>
      <c r="B8" s="187" t="str">
        <f>'t1'!B8</f>
        <v>016P02</v>
      </c>
      <c r="C8" s="348">
        <f>'t1'!C8+'t1'!D8</f>
        <v>9</v>
      </c>
      <c r="D8" s="348">
        <f>'t5'!S9+'t5'!T9</f>
        <v>2</v>
      </c>
      <c r="E8" s="349">
        <f>'t6'!U9+'t6'!V9</f>
        <v>0</v>
      </c>
      <c r="F8" s="349">
        <f>'t4'!AB8</f>
        <v>0</v>
      </c>
      <c r="G8" s="349">
        <f>'t4'!E31</f>
        <v>0</v>
      </c>
      <c r="H8" s="349">
        <f t="shared" si="0"/>
        <v>7</v>
      </c>
      <c r="I8" s="349">
        <f>'t1'!L8+'t1'!M8</f>
        <v>7</v>
      </c>
      <c r="J8" s="101" t="str">
        <f t="shared" si="1"/>
        <v>OK</v>
      </c>
    </row>
    <row r="9" spans="1:10" ht="12.75" customHeight="1">
      <c r="A9" s="750" t="str">
        <f>'t1'!A9</f>
        <v>DIRETTORE AMMINISTRATIVO EP2</v>
      </c>
      <c r="B9" s="187" t="str">
        <f>'t1'!B9</f>
        <v>013504</v>
      </c>
      <c r="C9" s="348">
        <f>'t1'!C9+'t1'!D9</f>
        <v>1</v>
      </c>
      <c r="D9" s="348">
        <f>'t5'!S10+'t5'!T10</f>
        <v>0</v>
      </c>
      <c r="E9" s="349">
        <f>'t6'!U10+'t6'!V10</f>
        <v>0</v>
      </c>
      <c r="F9" s="349">
        <f>'t4'!AB9</f>
        <v>0</v>
      </c>
      <c r="G9" s="349">
        <f>'t4'!F31</f>
        <v>0</v>
      </c>
      <c r="H9" s="349">
        <f t="shared" si="0"/>
        <v>1</v>
      </c>
      <c r="I9" s="349">
        <f>'t1'!L9+'t1'!M9</f>
        <v>1</v>
      </c>
      <c r="J9" s="101" t="str">
        <f t="shared" si="1"/>
        <v>OK</v>
      </c>
    </row>
    <row r="10" spans="1:10" ht="12.75" customHeight="1">
      <c r="A10" s="750" t="str">
        <f>'t1'!A10</f>
        <v>DIRETTORE DELL UFFICIO DI RAGIONERIA (EP1)</v>
      </c>
      <c r="B10" s="187" t="str">
        <f>'t1'!B10</f>
        <v>013159</v>
      </c>
      <c r="C10" s="348">
        <f>'t1'!C10+'t1'!D10</f>
        <v>1</v>
      </c>
      <c r="D10" s="348">
        <f>'t5'!S11+'t5'!T11</f>
        <v>0</v>
      </c>
      <c r="E10" s="349">
        <f>'t6'!U11+'t6'!V11</f>
        <v>0</v>
      </c>
      <c r="F10" s="349">
        <f>'t4'!AB10</f>
        <v>0</v>
      </c>
      <c r="G10" s="349">
        <f>'t4'!G31</f>
        <v>0</v>
      </c>
      <c r="H10" s="349">
        <f t="shared" si="0"/>
        <v>1</v>
      </c>
      <c r="I10" s="349">
        <f>'t1'!L10+'t1'!M10</f>
        <v>1</v>
      </c>
      <c r="J10" s="101" t="str">
        <f t="shared" si="1"/>
        <v>OK</v>
      </c>
    </row>
    <row r="11" spans="1:10" ht="12.75" customHeight="1">
      <c r="A11" s="750" t="str">
        <f>'t1'!A11</f>
        <v>COORDINATORE DI BIBLIOTECA TECNICO E AMMINISTRATIVO(D)</v>
      </c>
      <c r="B11" s="187" t="str">
        <f>'t1'!B11</f>
        <v>013DTE</v>
      </c>
      <c r="C11" s="348">
        <f>'t1'!C11+'t1'!D11</f>
        <v>0</v>
      </c>
      <c r="D11" s="348">
        <f>'t5'!S12+'t5'!T12</f>
        <v>0</v>
      </c>
      <c r="E11" s="349">
        <f>'t6'!U12+'t6'!V12</f>
        <v>0</v>
      </c>
      <c r="F11" s="349">
        <f>'t4'!AB11</f>
        <v>0</v>
      </c>
      <c r="G11" s="349">
        <f>'t4'!H31</f>
        <v>0</v>
      </c>
      <c r="H11" s="349">
        <f t="shared" si="0"/>
        <v>0</v>
      </c>
      <c r="I11" s="349">
        <f>'t1'!L11+'t1'!M11</f>
        <v>0</v>
      </c>
      <c r="J11" s="101" t="str">
        <f t="shared" si="1"/>
        <v>OK</v>
      </c>
    </row>
    <row r="12" spans="1:10" ht="12.75" customHeight="1">
      <c r="A12" s="750" t="str">
        <f>'t1'!A12</f>
        <v>COLLABORATORE TEC. AMMIN. DI BIBLIOT. E DI LAB. (C)</v>
      </c>
      <c r="B12" s="187" t="str">
        <f>'t1'!B12</f>
        <v>013CTE</v>
      </c>
      <c r="C12" s="348">
        <f>'t1'!C12+'t1'!D12</f>
        <v>0</v>
      </c>
      <c r="D12" s="348">
        <f>'t5'!S13+'t5'!T13</f>
        <v>0</v>
      </c>
      <c r="E12" s="349">
        <f>'t6'!U13+'t6'!V13</f>
        <v>0</v>
      </c>
      <c r="F12" s="349">
        <f>'t4'!AB12</f>
        <v>0</v>
      </c>
      <c r="G12" s="349">
        <f>'t4'!I31</f>
        <v>0</v>
      </c>
      <c r="H12" s="349">
        <f t="shared" si="0"/>
        <v>0</v>
      </c>
      <c r="I12" s="349">
        <f>'t1'!L12+'t1'!M12</f>
        <v>0</v>
      </c>
      <c r="J12" s="101" t="str">
        <f t="shared" si="1"/>
        <v>OK</v>
      </c>
    </row>
    <row r="13" spans="1:10" ht="12.75" customHeight="1">
      <c r="A13" s="750" t="str">
        <f>'t1'!A13</f>
        <v>ASSISTENTE AMMINISTRATIVO (B)</v>
      </c>
      <c r="B13" s="187" t="str">
        <f>'t1'!B13</f>
        <v>012117</v>
      </c>
      <c r="C13" s="348">
        <f>'t1'!C13+'t1'!D13</f>
        <v>4</v>
      </c>
      <c r="D13" s="348">
        <f>'t5'!S14+'t5'!T14</f>
        <v>0</v>
      </c>
      <c r="E13" s="349">
        <f>'t6'!U14+'t6'!V14</f>
        <v>0</v>
      </c>
      <c r="F13" s="349">
        <f>'t4'!AB13</f>
        <v>0</v>
      </c>
      <c r="G13" s="349">
        <f>'t4'!J31</f>
        <v>0</v>
      </c>
      <c r="H13" s="349">
        <f t="shared" si="0"/>
        <v>4</v>
      </c>
      <c r="I13" s="349">
        <f>'t1'!L13+'t1'!M13</f>
        <v>4</v>
      </c>
      <c r="J13" s="101" t="str">
        <f t="shared" si="1"/>
        <v>OK</v>
      </c>
    </row>
    <row r="14" spans="1:10" ht="12.75" customHeight="1">
      <c r="A14" s="750" t="str">
        <f>'t1'!A14</f>
        <v>COADIUTORE (A)</v>
      </c>
      <c r="B14" s="187" t="str">
        <f>'t1'!B14</f>
        <v>011121</v>
      </c>
      <c r="C14" s="348">
        <f>'t1'!C14+'t1'!D14</f>
        <v>6</v>
      </c>
      <c r="D14" s="348">
        <f>'t5'!S15+'t5'!T15</f>
        <v>0</v>
      </c>
      <c r="E14" s="349">
        <f>'t6'!U15+'t6'!V15</f>
        <v>0</v>
      </c>
      <c r="F14" s="349">
        <f>'t4'!AB14</f>
        <v>0</v>
      </c>
      <c r="G14" s="349">
        <f>'t4'!K31</f>
        <v>0</v>
      </c>
      <c r="H14" s="349">
        <f t="shared" si="0"/>
        <v>6</v>
      </c>
      <c r="I14" s="349">
        <f>'t1'!L14+'t1'!M14</f>
        <v>6</v>
      </c>
      <c r="J14" s="101" t="str">
        <f t="shared" si="1"/>
        <v>OK</v>
      </c>
    </row>
    <row r="15" spans="1:10" ht="12.75" customHeight="1">
      <c r="A15" s="750" t="str">
        <f>'t1'!A15</f>
        <v>PROFESSORI DI PRIMA FASCIA TEMPO DET.ANNUALE</v>
      </c>
      <c r="B15" s="187" t="str">
        <f>'t1'!B15</f>
        <v>018PD1</v>
      </c>
      <c r="C15" s="758"/>
      <c r="D15" s="758"/>
      <c r="E15" s="758"/>
      <c r="F15" s="758"/>
      <c r="G15" s="758"/>
      <c r="H15" s="758"/>
      <c r="I15" s="758"/>
      <c r="J15" s="759"/>
    </row>
    <row r="16" spans="1:10" ht="12.75" customHeight="1">
      <c r="A16" s="750" t="str">
        <f>'t1'!A16</f>
        <v>PROFESSORI DI SECONDA FASCIA TEMPO DET.ANNUALE</v>
      </c>
      <c r="B16" s="187" t="str">
        <f>'t1'!B16</f>
        <v>016PD2</v>
      </c>
      <c r="C16" s="758"/>
      <c r="D16" s="758"/>
      <c r="E16" s="758"/>
      <c r="F16" s="758"/>
      <c r="G16" s="758"/>
      <c r="H16" s="758"/>
      <c r="I16" s="758"/>
      <c r="J16" s="759"/>
    </row>
    <row r="17" spans="1:10" ht="12.75" customHeight="1">
      <c r="A17" s="750" t="str">
        <f>'t1'!A17</f>
        <v>PROFESSORI DI PRIMA FASCIA T. DET. TERMINE ATTIV DIDATT</v>
      </c>
      <c r="B17" s="187" t="str">
        <f>'t1'!B17</f>
        <v>018DD1</v>
      </c>
      <c r="C17" s="758"/>
      <c r="D17" s="758"/>
      <c r="E17" s="758"/>
      <c r="F17" s="758"/>
      <c r="G17" s="758"/>
      <c r="H17" s="758"/>
      <c r="I17" s="758"/>
      <c r="J17" s="759"/>
    </row>
    <row r="18" spans="1:10" ht="12.75" customHeight="1">
      <c r="A18" s="750" t="str">
        <f>'t1'!A18</f>
        <v>PROFESSORI DI SECONDA FASCIA T. DET. TERMINE ATTIV DIDATT</v>
      </c>
      <c r="B18" s="187" t="str">
        <f>'t1'!B18</f>
        <v>016DD2</v>
      </c>
      <c r="C18" s="758"/>
      <c r="D18" s="758"/>
      <c r="E18" s="758"/>
      <c r="F18" s="758"/>
      <c r="G18" s="758"/>
      <c r="H18" s="758"/>
      <c r="I18" s="758"/>
      <c r="J18" s="759"/>
    </row>
    <row r="19" spans="1:10" ht="12.75" customHeight="1">
      <c r="A19" s="750" t="str">
        <f>'t1'!A19</f>
        <v>DIRETTORE AMMINISTRATIVO TEMPO DET.ANNUALE (EP2)</v>
      </c>
      <c r="B19" s="187" t="str">
        <f>'t1'!B19</f>
        <v>013EP2</v>
      </c>
      <c r="C19" s="758"/>
      <c r="D19" s="758"/>
      <c r="E19" s="758"/>
      <c r="F19" s="758"/>
      <c r="G19" s="758"/>
      <c r="H19" s="758"/>
      <c r="I19" s="758"/>
      <c r="J19" s="759"/>
    </row>
    <row r="20" spans="1:10" ht="12.75" customHeight="1">
      <c r="A20" s="750" t="str">
        <f>'t1'!A20</f>
        <v>DIRETTORE DELL UFFICIO DI RAGIONERIA TEMPO DET.ANNUALE (EP1)</v>
      </c>
      <c r="B20" s="187" t="str">
        <f>'t1'!B20</f>
        <v>013160</v>
      </c>
      <c r="C20" s="758"/>
      <c r="D20" s="758"/>
      <c r="E20" s="758"/>
      <c r="F20" s="758"/>
      <c r="G20" s="758"/>
      <c r="H20" s="758"/>
      <c r="I20" s="758"/>
      <c r="J20" s="759"/>
    </row>
    <row r="21" spans="1:10" ht="12.75" customHeight="1">
      <c r="A21" s="750" t="str">
        <f>'t1'!A21</f>
        <v>DIRETTORE AMMINISTRATIVO T. DET. TERMINE ATTIV DIDATT(EP2)</v>
      </c>
      <c r="B21" s="187" t="str">
        <f>'t1'!B21</f>
        <v>013E2N</v>
      </c>
      <c r="C21" s="758"/>
      <c r="D21" s="758"/>
      <c r="E21" s="758"/>
      <c r="F21" s="758"/>
      <c r="G21" s="758"/>
      <c r="H21" s="758"/>
      <c r="I21" s="758"/>
      <c r="J21" s="759"/>
    </row>
    <row r="22" spans="1:10" ht="12.75" customHeight="1">
      <c r="A22" s="750" t="str">
        <f>'t1'!A22</f>
        <v>DIRETTORE UFF. RAGIONERIA T. DET. TERM. ATTIV DIDATT(EP1)</v>
      </c>
      <c r="B22" s="187" t="str">
        <f>'t1'!B22</f>
        <v>013E1N</v>
      </c>
      <c r="C22" s="758"/>
      <c r="D22" s="758"/>
      <c r="E22" s="758"/>
      <c r="F22" s="758"/>
      <c r="G22" s="758"/>
      <c r="H22" s="758"/>
      <c r="I22" s="758"/>
      <c r="J22" s="759"/>
    </row>
    <row r="23" spans="1:10" ht="12.75" customHeight="1">
      <c r="A23" s="750" t="str">
        <f>'t1'!A23</f>
        <v>COORD. DI BIBLIOT., COORD. TEC. E AMM. TEMPO DET.ANNUALE</v>
      </c>
      <c r="B23" s="187" t="str">
        <f>'t1'!B23</f>
        <v>013DDE</v>
      </c>
      <c r="C23" s="758"/>
      <c r="D23" s="758"/>
      <c r="E23" s="758"/>
      <c r="F23" s="758"/>
      <c r="G23" s="758"/>
      <c r="H23" s="758"/>
      <c r="I23" s="758"/>
      <c r="J23" s="759"/>
    </row>
    <row r="24" spans="1:10" ht="12.75" customHeight="1">
      <c r="A24" s="750" t="str">
        <f>'t1'!A24</f>
        <v>COLLAB. TEC. AMMIN. DI BIBLIOT. E DI LAB. TEMPO DET.ANNUALE</v>
      </c>
      <c r="B24" s="187" t="str">
        <f>'t1'!B24</f>
        <v>013CDE</v>
      </c>
      <c r="C24" s="758"/>
      <c r="D24" s="758"/>
      <c r="E24" s="758"/>
      <c r="F24" s="758"/>
      <c r="G24" s="758"/>
      <c r="H24" s="758"/>
      <c r="I24" s="758"/>
      <c r="J24" s="759"/>
    </row>
    <row r="25" spans="1:10" ht="12.75" customHeight="1">
      <c r="A25" s="750" t="str">
        <f>'t1'!A25</f>
        <v>ASSIST. AMMINISTRATIVO TEMPO DET.ANNUALE</v>
      </c>
      <c r="B25" s="187" t="str">
        <f>'t1'!B25</f>
        <v>012118</v>
      </c>
      <c r="C25" s="758"/>
      <c r="D25" s="758"/>
      <c r="E25" s="758"/>
      <c r="F25" s="758"/>
      <c r="G25" s="758"/>
      <c r="H25" s="758"/>
      <c r="I25" s="758"/>
      <c r="J25" s="759"/>
    </row>
    <row r="26" spans="1:10" ht="12.75" customHeight="1">
      <c r="A26" s="750" t="str">
        <f>'t1'!A26</f>
        <v>COADIUTORE TEMPO DET.ANNUALE</v>
      </c>
      <c r="B26" s="187" t="str">
        <f>'t1'!B26</f>
        <v>011124</v>
      </c>
      <c r="C26" s="758"/>
      <c r="D26" s="758"/>
      <c r="E26" s="758"/>
      <c r="F26" s="758"/>
      <c r="G26" s="758"/>
      <c r="H26" s="758"/>
      <c r="I26" s="758"/>
      <c r="J26" s="759"/>
    </row>
    <row r="27" spans="1:10" ht="12.75" customHeight="1">
      <c r="A27" s="750" t="str">
        <f>'t1'!A27</f>
        <v>COORD. BIBL., COORD. TEC. E AMM. T. DET. TERM. ATTIV DIDATT</v>
      </c>
      <c r="B27" s="187" t="str">
        <f>'t1'!B27</f>
        <v>013DDN</v>
      </c>
      <c r="C27" s="758"/>
      <c r="D27" s="758"/>
      <c r="E27" s="758"/>
      <c r="F27" s="758"/>
      <c r="G27" s="758"/>
      <c r="H27" s="758"/>
      <c r="I27" s="758"/>
      <c r="J27" s="759"/>
    </row>
    <row r="28" spans="1:10" ht="12.75" customHeight="1">
      <c r="A28" s="750" t="str">
        <f>'t1'!A28</f>
        <v>COLLAB. TEC. AMM. BIBL. E DI LAB. T. D. TERM. ATTIV DIDATT</v>
      </c>
      <c r="B28" s="187" t="str">
        <f>'t1'!B28</f>
        <v>013CDN</v>
      </c>
      <c r="C28" s="758"/>
      <c r="D28" s="758"/>
      <c r="E28" s="758"/>
      <c r="F28" s="758"/>
      <c r="G28" s="758"/>
      <c r="H28" s="758"/>
      <c r="I28" s="758"/>
      <c r="J28" s="759"/>
    </row>
    <row r="29" spans="1:10" ht="12.75" customHeight="1">
      <c r="A29" s="750" t="str">
        <f>'t1'!A29</f>
        <v>ASSISTENTE AMMINISTRATIVO TEM.DET. TERMINE ATTIV DIDATT</v>
      </c>
      <c r="B29" s="187" t="str">
        <f>'t1'!B29</f>
        <v>016509</v>
      </c>
      <c r="C29" s="758"/>
      <c r="D29" s="758"/>
      <c r="E29" s="758"/>
      <c r="F29" s="758"/>
      <c r="G29" s="758"/>
      <c r="H29" s="758"/>
      <c r="I29" s="758"/>
      <c r="J29" s="759"/>
    </row>
    <row r="30" spans="1:10" ht="12.75" customHeight="1">
      <c r="A30" s="750" t="str">
        <f>'t1'!A30</f>
        <v>COADIUTORE TEMPO DET. TERMINE ATTIV DIDATT</v>
      </c>
      <c r="B30" s="187" t="str">
        <f>'t1'!B30</f>
        <v>011CNA</v>
      </c>
      <c r="C30" s="758"/>
      <c r="D30" s="758"/>
      <c r="E30" s="758"/>
      <c r="F30" s="758"/>
      <c r="G30" s="758"/>
      <c r="H30" s="758"/>
      <c r="I30" s="758"/>
      <c r="J30" s="759"/>
    </row>
    <row r="31" spans="1:10" s="355" customFormat="1" ht="15.75" customHeight="1">
      <c r="A31" s="751" t="str">
        <f>'t1'!A31</f>
        <v>TOTALE</v>
      </c>
      <c r="B31" s="208"/>
      <c r="C31" s="373">
        <f aca="true" t="shared" si="2" ref="C31:I31">SUM(C6:C30)</f>
        <v>32</v>
      </c>
      <c r="D31" s="373">
        <f t="shared" si="2"/>
        <v>3</v>
      </c>
      <c r="E31" s="373">
        <f t="shared" si="2"/>
        <v>0</v>
      </c>
      <c r="F31" s="373">
        <f t="shared" si="2"/>
        <v>0</v>
      </c>
      <c r="G31" s="373">
        <f t="shared" si="2"/>
        <v>0</v>
      </c>
      <c r="H31" s="373">
        <f t="shared" si="2"/>
        <v>29</v>
      </c>
      <c r="I31" s="373">
        <f t="shared" si="2"/>
        <v>28</v>
      </c>
      <c r="J31" s="374" t="str">
        <f>IF(H31=I31,"OK","ERRORE")</f>
        <v>ERRORE</v>
      </c>
    </row>
    <row r="36" spans="6:20" ht="11.25">
      <c r="F36" s="370"/>
      <c r="G36" s="370"/>
      <c r="H36" s="370"/>
      <c r="I36" s="370"/>
      <c r="J36" s="370"/>
      <c r="K36" s="371"/>
      <c r="L36" s="371"/>
      <c r="M36" s="371"/>
      <c r="N36" s="371"/>
      <c r="O36" s="371"/>
      <c r="P36" s="371"/>
      <c r="Q36" s="371"/>
      <c r="R36" s="371"/>
      <c r="S36" s="371"/>
      <c r="T36" s="371"/>
    </row>
    <row r="40" ht="11.25">
      <c r="G40" s="370"/>
    </row>
    <row r="41" ht="11.25">
      <c r="G41" s="370"/>
    </row>
    <row r="42" ht="11.25">
      <c r="G42" s="370"/>
    </row>
    <row r="43" ht="11.25">
      <c r="G43" s="370"/>
    </row>
    <row r="44" ht="11.25">
      <c r="G44" s="370"/>
    </row>
    <row r="45" ht="11.25">
      <c r="G45" s="371"/>
    </row>
    <row r="46" ht="11.25">
      <c r="G46" s="371"/>
    </row>
    <row r="47" ht="11.25">
      <c r="G47" s="371"/>
    </row>
    <row r="48" ht="11.25">
      <c r="G48" s="371"/>
    </row>
    <row r="49" ht="11.25">
      <c r="G49" s="371"/>
    </row>
    <row r="50" ht="11.25">
      <c r="G50" s="371"/>
    </row>
    <row r="51" ht="11.25">
      <c r="G51" s="371"/>
    </row>
    <row r="52" ht="11.25">
      <c r="G52" s="371"/>
    </row>
    <row r="53" ht="11.25">
      <c r="G53" s="371"/>
    </row>
    <row r="54" ht="11.25">
      <c r="G54" s="371"/>
    </row>
  </sheetData>
  <sheetProtection password="EA98" sheet="1" formatColumns="0" selectLockedCells="1" selectUnlockedCells="1"/>
  <mergeCells count="2">
    <mergeCell ref="A1:H1"/>
    <mergeCell ref="D2:J2"/>
  </mergeCells>
  <printOptions horizontalCentered="1" verticalCentered="1"/>
  <pageMargins left="0" right="0" top="0.15748031496062992" bottom="0.15748031496062992" header="0.1968503937007874" footer="0.1968503937007874"/>
  <pageSetup horizontalDpi="300" verticalDpi="300" orientation="landscape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3"/>
  <dimension ref="A1:M32"/>
  <sheetViews>
    <sheetView showGridLines="0" zoomScalePageLayoutView="0" workbookViewId="0" topLeftCell="A1">
      <pane xSplit="2" ySplit="6" topLeftCell="D19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9.33203125" defaultRowHeight="10.5"/>
  <cols>
    <col min="1" max="1" width="57.83203125" style="5" customWidth="1"/>
    <col min="2" max="2" width="12.5" style="7" customWidth="1"/>
    <col min="3" max="3" width="11" style="7" customWidth="1"/>
    <col min="4" max="5" width="12.5" style="7" customWidth="1"/>
    <col min="6" max="7" width="10.83203125" style="7" customWidth="1"/>
    <col min="8" max="8" width="11" style="7" customWidth="1"/>
    <col min="9" max="10" width="12.5" style="7" customWidth="1"/>
    <col min="11" max="11" width="10.83203125" style="7" customWidth="1"/>
    <col min="12" max="12" width="10.83203125" style="5" customWidth="1"/>
    <col min="13" max="16384" width="9.33203125" style="5" customWidth="1"/>
  </cols>
  <sheetData>
    <row r="1" spans="1:13" ht="43.5" customHeight="1">
      <c r="A1" s="1155" t="str">
        <f>'t1'!A1</f>
        <v>COMPARTO AFAM - anno 2016</v>
      </c>
      <c r="B1" s="1155"/>
      <c r="C1" s="1155"/>
      <c r="D1" s="1155"/>
      <c r="E1" s="1155"/>
      <c r="F1" s="1155"/>
      <c r="G1" s="1155"/>
      <c r="H1" s="1155"/>
      <c r="I1" s="1155"/>
      <c r="J1" s="1155"/>
      <c r="K1" s="3"/>
      <c r="L1" s="320"/>
      <c r="M1"/>
    </row>
    <row r="2" spans="2:13" ht="12.75" customHeight="1">
      <c r="B2" s="5"/>
      <c r="C2" s="5"/>
      <c r="D2" s="5"/>
      <c r="E2" s="1237"/>
      <c r="F2" s="1237"/>
      <c r="G2" s="1237"/>
      <c r="H2" s="1237"/>
      <c r="I2" s="1237"/>
      <c r="J2" s="1237"/>
      <c r="K2" s="1237"/>
      <c r="L2" s="1237"/>
      <c r="M2"/>
    </row>
    <row r="3" spans="1:11" ht="21" customHeight="1">
      <c r="A3" s="197" t="str">
        <f>"Tavola di coerenza tra presenti al 31.12."&amp;'t1'!M1&amp;" rilevati nelle Tabelle 1, 7, 8 e 9 (Squadratura 2)"</f>
        <v>Tavola di coerenza tra presenti al 31.12.2016 rilevati nelle Tabelle 1, 7, 8 e 9 (Squadratura 2)</v>
      </c>
      <c r="C3" s="5"/>
      <c r="D3" s="5"/>
      <c r="E3" s="5"/>
      <c r="F3" s="5"/>
      <c r="G3" s="5"/>
      <c r="H3" s="5"/>
      <c r="I3" s="5"/>
      <c r="J3" s="5"/>
      <c r="K3" s="5"/>
    </row>
    <row r="4" spans="1:12" s="100" customFormat="1" ht="11.25" customHeight="1">
      <c r="A4" s="189"/>
      <c r="B4" s="189"/>
      <c r="C4" s="1238" t="s">
        <v>268</v>
      </c>
      <c r="D4" s="1239"/>
      <c r="E4" s="1239"/>
      <c r="F4" s="1239"/>
      <c r="G4" s="1240"/>
      <c r="H4" s="1238" t="s">
        <v>269</v>
      </c>
      <c r="I4" s="1239"/>
      <c r="J4" s="1239"/>
      <c r="K4" s="1239"/>
      <c r="L4" s="1240"/>
    </row>
    <row r="5" spans="1:12" ht="70.5" customHeight="1">
      <c r="A5" s="180" t="s">
        <v>207</v>
      </c>
      <c r="B5" s="180" t="s">
        <v>206</v>
      </c>
      <c r="C5" s="188" t="str">
        <f>"Presenti 31.12."&amp;'t1'!M1&amp;" (Tab 1)"</f>
        <v>Presenti 31.12.2016 (Tab 1)</v>
      </c>
      <c r="D5" s="185" t="s">
        <v>217</v>
      </c>
      <c r="E5" s="185" t="s">
        <v>218</v>
      </c>
      <c r="F5" s="185" t="s">
        <v>18</v>
      </c>
      <c r="G5" s="185" t="s">
        <v>216</v>
      </c>
      <c r="H5" s="188" t="str">
        <f>"Presenti 31.12."&amp;'t1'!M1&amp;" (Tab 1)"</f>
        <v>Presenti 31.12.2016 (Tab 1)</v>
      </c>
      <c r="I5" s="185" t="s">
        <v>217</v>
      </c>
      <c r="J5" s="185" t="s">
        <v>218</v>
      </c>
      <c r="K5" s="185" t="s">
        <v>18</v>
      </c>
      <c r="L5" s="185" t="s">
        <v>216</v>
      </c>
    </row>
    <row r="6" spans="1:12" ht="11.25">
      <c r="A6" s="181"/>
      <c r="B6" s="181"/>
      <c r="C6" s="190" t="s">
        <v>208</v>
      </c>
      <c r="D6" s="190" t="s">
        <v>209</v>
      </c>
      <c r="E6" s="190" t="s">
        <v>210</v>
      </c>
      <c r="F6" s="190" t="s">
        <v>211</v>
      </c>
      <c r="G6" s="191" t="s">
        <v>234</v>
      </c>
      <c r="H6" s="190" t="s">
        <v>212</v>
      </c>
      <c r="I6" s="190" t="s">
        <v>232</v>
      </c>
      <c r="J6" s="190" t="s">
        <v>214</v>
      </c>
      <c r="K6" s="190" t="s">
        <v>222</v>
      </c>
      <c r="L6" s="191" t="s">
        <v>235</v>
      </c>
    </row>
    <row r="7" spans="1:12" ht="12.75" customHeight="1">
      <c r="A7" s="137" t="str">
        <f>'t1'!A6</f>
        <v>DIRIGENTE SCOLASTICO</v>
      </c>
      <c r="B7" s="187" t="str">
        <f>'t1'!B6</f>
        <v>0D0158</v>
      </c>
      <c r="C7" s="348">
        <f>'t1'!L6</f>
        <v>0</v>
      </c>
      <c r="D7" s="348">
        <f>'t7'!W6</f>
        <v>0</v>
      </c>
      <c r="E7" s="349">
        <f>'t8'!AA6</f>
        <v>0</v>
      </c>
      <c r="F7" s="349">
        <f>'t9'!O6</f>
        <v>0</v>
      </c>
      <c r="G7" s="101" t="str">
        <f aca="true" t="shared" si="0" ref="G7:G31">IF(COUNTIF(C7:F7,C7)=4,"OK","ERRORE")</f>
        <v>OK</v>
      </c>
      <c r="H7" s="349">
        <f>'t1'!M6</f>
        <v>0</v>
      </c>
      <c r="I7" s="349">
        <f>'t7'!X6</f>
        <v>0</v>
      </c>
      <c r="J7" s="349">
        <f>'t8'!AB6</f>
        <v>0</v>
      </c>
      <c r="K7" s="348">
        <f>'t9'!P6</f>
        <v>0</v>
      </c>
      <c r="L7" s="101" t="str">
        <f aca="true" t="shared" si="1" ref="L7:L31">IF(COUNTIF(H7:K7,H7)=4,"OK","ERRORE")</f>
        <v>OK</v>
      </c>
    </row>
    <row r="8" spans="1:12" ht="12.75" customHeight="1">
      <c r="A8" s="137" t="str">
        <f>'t1'!A7</f>
        <v>PROFESSORI DI PRIMA FASCIA</v>
      </c>
      <c r="B8" s="187" t="str">
        <f>'t1'!B7</f>
        <v>018P01</v>
      </c>
      <c r="C8" s="348">
        <f>'t1'!L7</f>
        <v>5</v>
      </c>
      <c r="D8" s="348">
        <f>'t7'!W7</f>
        <v>5</v>
      </c>
      <c r="E8" s="349">
        <f>'t8'!AA7</f>
        <v>5</v>
      </c>
      <c r="F8" s="349">
        <f>'t9'!O7</f>
        <v>5</v>
      </c>
      <c r="G8" s="101" t="str">
        <f t="shared" si="0"/>
        <v>OK</v>
      </c>
      <c r="H8" s="349">
        <f>'t1'!M7</f>
        <v>4</v>
      </c>
      <c r="I8" s="349">
        <f>'t7'!X7</f>
        <v>4</v>
      </c>
      <c r="J8" s="349">
        <f>'t8'!AB7</f>
        <v>4</v>
      </c>
      <c r="K8" s="348">
        <f>'t9'!P7</f>
        <v>4</v>
      </c>
      <c r="L8" s="101" t="str">
        <f t="shared" si="1"/>
        <v>OK</v>
      </c>
    </row>
    <row r="9" spans="1:12" ht="12.75" customHeight="1">
      <c r="A9" s="137" t="str">
        <f>'t1'!A8</f>
        <v>PROFESSORI DI SECONDA FASCIA</v>
      </c>
      <c r="B9" s="187" t="str">
        <f>'t1'!B8</f>
        <v>016P02</v>
      </c>
      <c r="C9" s="348">
        <f>'t1'!L8</f>
        <v>2</v>
      </c>
      <c r="D9" s="348">
        <f>'t7'!W8</f>
        <v>2</v>
      </c>
      <c r="E9" s="349">
        <f>'t8'!AA8</f>
        <v>2</v>
      </c>
      <c r="F9" s="349">
        <f>'t9'!O8</f>
        <v>2</v>
      </c>
      <c r="G9" s="101" t="str">
        <f t="shared" si="0"/>
        <v>OK</v>
      </c>
      <c r="H9" s="349">
        <f>'t1'!M8</f>
        <v>5</v>
      </c>
      <c r="I9" s="349">
        <f>'t7'!X8</f>
        <v>5</v>
      </c>
      <c r="J9" s="349">
        <f>'t8'!AB8</f>
        <v>5</v>
      </c>
      <c r="K9" s="348">
        <f>'t9'!P8</f>
        <v>5</v>
      </c>
      <c r="L9" s="101" t="str">
        <f t="shared" si="1"/>
        <v>OK</v>
      </c>
    </row>
    <row r="10" spans="1:12" ht="12.75" customHeight="1">
      <c r="A10" s="137" t="str">
        <f>'t1'!A9</f>
        <v>DIRETTORE AMMINISTRATIVO EP2</v>
      </c>
      <c r="B10" s="187" t="str">
        <f>'t1'!B9</f>
        <v>013504</v>
      </c>
      <c r="C10" s="348">
        <f>'t1'!L9</f>
        <v>0</v>
      </c>
      <c r="D10" s="348">
        <f>'t7'!W9</f>
        <v>0</v>
      </c>
      <c r="E10" s="349">
        <f>'t8'!AA9</f>
        <v>0</v>
      </c>
      <c r="F10" s="349">
        <f>'t9'!O9</f>
        <v>0</v>
      </c>
      <c r="G10" s="101" t="str">
        <f t="shared" si="0"/>
        <v>OK</v>
      </c>
      <c r="H10" s="349">
        <f>'t1'!M9</f>
        <v>1</v>
      </c>
      <c r="I10" s="349">
        <f>'t7'!X9</f>
        <v>1</v>
      </c>
      <c r="J10" s="349">
        <f>'t8'!AB9</f>
        <v>1</v>
      </c>
      <c r="K10" s="348">
        <f>'t9'!P9</f>
        <v>1</v>
      </c>
      <c r="L10" s="101" t="str">
        <f t="shared" si="1"/>
        <v>OK</v>
      </c>
    </row>
    <row r="11" spans="1:12" ht="12.75" customHeight="1">
      <c r="A11" s="137" t="str">
        <f>'t1'!A10</f>
        <v>DIRETTORE DELL UFFICIO DI RAGIONERIA (EP1)</v>
      </c>
      <c r="B11" s="187" t="str">
        <f>'t1'!B10</f>
        <v>013159</v>
      </c>
      <c r="C11" s="348">
        <f>'t1'!L10</f>
        <v>0</v>
      </c>
      <c r="D11" s="348">
        <f>'t7'!W10</f>
        <v>0</v>
      </c>
      <c r="E11" s="349">
        <f>'t8'!AA10</f>
        <v>0</v>
      </c>
      <c r="F11" s="349">
        <f>'t9'!O10</f>
        <v>0</v>
      </c>
      <c r="G11" s="101" t="str">
        <f t="shared" si="0"/>
        <v>OK</v>
      </c>
      <c r="H11" s="349">
        <f>'t1'!M10</f>
        <v>1</v>
      </c>
      <c r="I11" s="349">
        <f>'t7'!X10</f>
        <v>1</v>
      </c>
      <c r="J11" s="349">
        <f>'t8'!AB10</f>
        <v>1</v>
      </c>
      <c r="K11" s="348">
        <f>'t9'!P10</f>
        <v>1</v>
      </c>
      <c r="L11" s="101" t="str">
        <f t="shared" si="1"/>
        <v>OK</v>
      </c>
    </row>
    <row r="12" spans="1:12" ht="12.75" customHeight="1">
      <c r="A12" s="137" t="str">
        <f>'t1'!A11</f>
        <v>COORDINATORE DI BIBLIOTECA TECNICO E AMMINISTRATIVO(D)</v>
      </c>
      <c r="B12" s="187" t="str">
        <f>'t1'!B11</f>
        <v>013DTE</v>
      </c>
      <c r="C12" s="348">
        <f>'t1'!L11</f>
        <v>0</v>
      </c>
      <c r="D12" s="348">
        <f>'t7'!W11</f>
        <v>0</v>
      </c>
      <c r="E12" s="349">
        <f>'t8'!AA11</f>
        <v>0</v>
      </c>
      <c r="F12" s="349">
        <f>'t9'!O11</f>
        <v>0</v>
      </c>
      <c r="G12" s="101" t="str">
        <f t="shared" si="0"/>
        <v>OK</v>
      </c>
      <c r="H12" s="349">
        <f>'t1'!M11</f>
        <v>0</v>
      </c>
      <c r="I12" s="349">
        <f>'t7'!X11</f>
        <v>0</v>
      </c>
      <c r="J12" s="349">
        <f>'t8'!AB11</f>
        <v>0</v>
      </c>
      <c r="K12" s="348">
        <f>'t9'!P11</f>
        <v>0</v>
      </c>
      <c r="L12" s="101" t="str">
        <f t="shared" si="1"/>
        <v>OK</v>
      </c>
    </row>
    <row r="13" spans="1:12" ht="12.75" customHeight="1">
      <c r="A13" s="137" t="str">
        <f>'t1'!A12</f>
        <v>COLLABORATORE TEC. AMMIN. DI BIBLIOT. E DI LAB. (C)</v>
      </c>
      <c r="B13" s="187" t="str">
        <f>'t1'!B12</f>
        <v>013CTE</v>
      </c>
      <c r="C13" s="348">
        <f>'t1'!L12</f>
        <v>0</v>
      </c>
      <c r="D13" s="348">
        <f>'t7'!W12</f>
        <v>0</v>
      </c>
      <c r="E13" s="349">
        <f>'t8'!AA12</f>
        <v>0</v>
      </c>
      <c r="F13" s="349">
        <f>'t9'!O12</f>
        <v>0</v>
      </c>
      <c r="G13" s="101" t="str">
        <f t="shared" si="0"/>
        <v>OK</v>
      </c>
      <c r="H13" s="349">
        <f>'t1'!M12</f>
        <v>0</v>
      </c>
      <c r="I13" s="349">
        <f>'t7'!X12</f>
        <v>0</v>
      </c>
      <c r="J13" s="349">
        <f>'t8'!AB12</f>
        <v>0</v>
      </c>
      <c r="K13" s="348">
        <f>'t9'!P12</f>
        <v>0</v>
      </c>
      <c r="L13" s="101" t="str">
        <f t="shared" si="1"/>
        <v>OK</v>
      </c>
    </row>
    <row r="14" spans="1:12" ht="12.75" customHeight="1">
      <c r="A14" s="137" t="str">
        <f>'t1'!A13</f>
        <v>ASSISTENTE AMMINISTRATIVO (B)</v>
      </c>
      <c r="B14" s="187" t="str">
        <f>'t1'!B13</f>
        <v>012117</v>
      </c>
      <c r="C14" s="348">
        <f>'t1'!L13</f>
        <v>1</v>
      </c>
      <c r="D14" s="348">
        <f>'t7'!W13</f>
        <v>1</v>
      </c>
      <c r="E14" s="349">
        <f>'t8'!AA13</f>
        <v>1</v>
      </c>
      <c r="F14" s="349">
        <f>'t9'!O13</f>
        <v>1</v>
      </c>
      <c r="G14" s="101" t="str">
        <f t="shared" si="0"/>
        <v>OK</v>
      </c>
      <c r="H14" s="349">
        <f>'t1'!M13</f>
        <v>3</v>
      </c>
      <c r="I14" s="349">
        <f>'t7'!X13</f>
        <v>3</v>
      </c>
      <c r="J14" s="349">
        <f>'t8'!AB13</f>
        <v>3</v>
      </c>
      <c r="K14" s="348">
        <f>'t9'!P13</f>
        <v>3</v>
      </c>
      <c r="L14" s="101" t="str">
        <f t="shared" si="1"/>
        <v>OK</v>
      </c>
    </row>
    <row r="15" spans="1:12" ht="12.75" customHeight="1">
      <c r="A15" s="137" t="str">
        <f>'t1'!A14</f>
        <v>COADIUTORE (A)</v>
      </c>
      <c r="B15" s="187" t="str">
        <f>'t1'!B14</f>
        <v>011121</v>
      </c>
      <c r="C15" s="348">
        <f>'t1'!L14</f>
        <v>3</v>
      </c>
      <c r="D15" s="348">
        <f>'t7'!W14</f>
        <v>3</v>
      </c>
      <c r="E15" s="349">
        <f>'t8'!AA14</f>
        <v>3</v>
      </c>
      <c r="F15" s="349">
        <f>'t9'!O14</f>
        <v>3</v>
      </c>
      <c r="G15" s="101" t="str">
        <f t="shared" si="0"/>
        <v>OK</v>
      </c>
      <c r="H15" s="349">
        <f>'t1'!M14</f>
        <v>3</v>
      </c>
      <c r="I15" s="349">
        <f>'t7'!X14</f>
        <v>3</v>
      </c>
      <c r="J15" s="349">
        <f>'t8'!AB14</f>
        <v>3</v>
      </c>
      <c r="K15" s="348">
        <f>'t9'!P14</f>
        <v>3</v>
      </c>
      <c r="L15" s="101" t="str">
        <f t="shared" si="1"/>
        <v>OK</v>
      </c>
    </row>
    <row r="16" spans="1:12" ht="12.75" customHeight="1">
      <c r="A16" s="137" t="str">
        <f>'t1'!A15</f>
        <v>PROFESSORI DI PRIMA FASCIA TEMPO DET.ANNUALE</v>
      </c>
      <c r="B16" s="187" t="str">
        <f>'t1'!B15</f>
        <v>018PD1</v>
      </c>
      <c r="C16" s="348">
        <f>'t1'!L15</f>
        <v>17</v>
      </c>
      <c r="D16" s="348">
        <f>'t7'!W15</f>
        <v>17</v>
      </c>
      <c r="E16" s="349">
        <f>'t8'!AA15</f>
        <v>17</v>
      </c>
      <c r="F16" s="349">
        <f>'t9'!O15</f>
        <v>17</v>
      </c>
      <c r="G16" s="101" t="str">
        <f t="shared" si="0"/>
        <v>OK</v>
      </c>
      <c r="H16" s="349">
        <f>'t1'!M15</f>
        <v>5</v>
      </c>
      <c r="I16" s="349">
        <f>'t7'!X15</f>
        <v>5</v>
      </c>
      <c r="J16" s="349">
        <f>'t8'!AB15</f>
        <v>5</v>
      </c>
      <c r="K16" s="348">
        <f>'t9'!P15</f>
        <v>5</v>
      </c>
      <c r="L16" s="101" t="str">
        <f t="shared" si="1"/>
        <v>OK</v>
      </c>
    </row>
    <row r="17" spans="1:12" ht="12.75" customHeight="1">
      <c r="A17" s="137" t="str">
        <f>'t1'!A16</f>
        <v>PROFESSORI DI SECONDA FASCIA TEMPO DET.ANNUALE</v>
      </c>
      <c r="B17" s="187" t="str">
        <f>'t1'!B16</f>
        <v>016PD2</v>
      </c>
      <c r="C17" s="348">
        <f>'t1'!L16</f>
        <v>4</v>
      </c>
      <c r="D17" s="348">
        <f>'t7'!W16</f>
        <v>4</v>
      </c>
      <c r="E17" s="349">
        <f>'t8'!AA16</f>
        <v>4</v>
      </c>
      <c r="F17" s="349">
        <f>'t9'!O16</f>
        <v>4</v>
      </c>
      <c r="G17" s="101" t="str">
        <f t="shared" si="0"/>
        <v>OK</v>
      </c>
      <c r="H17" s="349">
        <f>'t1'!M16</f>
        <v>2</v>
      </c>
      <c r="I17" s="349">
        <f>'t7'!X16</f>
        <v>2</v>
      </c>
      <c r="J17" s="349">
        <f>'t8'!AB16</f>
        <v>2</v>
      </c>
      <c r="K17" s="348">
        <f>'t9'!P16</f>
        <v>2</v>
      </c>
      <c r="L17" s="101" t="str">
        <f t="shared" si="1"/>
        <v>OK</v>
      </c>
    </row>
    <row r="18" spans="1:12" ht="12.75" customHeight="1">
      <c r="A18" s="137" t="str">
        <f>'t1'!A17</f>
        <v>PROFESSORI DI PRIMA FASCIA T. DET. TERMINE ATTIV DIDATT</v>
      </c>
      <c r="B18" s="187" t="str">
        <f>'t1'!B17</f>
        <v>018DD1</v>
      </c>
      <c r="C18" s="348">
        <f>'t1'!L17</f>
        <v>0</v>
      </c>
      <c r="D18" s="348">
        <f>'t7'!W17</f>
        <v>0</v>
      </c>
      <c r="E18" s="349">
        <f>'t8'!AA17</f>
        <v>0</v>
      </c>
      <c r="F18" s="349">
        <f>'t9'!O17</f>
        <v>0</v>
      </c>
      <c r="G18" s="101" t="str">
        <f t="shared" si="0"/>
        <v>OK</v>
      </c>
      <c r="H18" s="349">
        <f>'t1'!M17</f>
        <v>0</v>
      </c>
      <c r="I18" s="349">
        <f>'t7'!X17</f>
        <v>0</v>
      </c>
      <c r="J18" s="349">
        <f>'t8'!AB17</f>
        <v>0</v>
      </c>
      <c r="K18" s="348">
        <f>'t9'!P17</f>
        <v>0</v>
      </c>
      <c r="L18" s="101" t="str">
        <f t="shared" si="1"/>
        <v>OK</v>
      </c>
    </row>
    <row r="19" spans="1:12" ht="12.75" customHeight="1">
      <c r="A19" s="137" t="str">
        <f>'t1'!A18</f>
        <v>PROFESSORI DI SECONDA FASCIA T. DET. TERMINE ATTIV DIDATT</v>
      </c>
      <c r="B19" s="187" t="str">
        <f>'t1'!B18</f>
        <v>016DD2</v>
      </c>
      <c r="C19" s="348">
        <f>'t1'!L18</f>
        <v>0</v>
      </c>
      <c r="D19" s="348">
        <f>'t7'!W18</f>
        <v>0</v>
      </c>
      <c r="E19" s="349">
        <f>'t8'!AA18</f>
        <v>0</v>
      </c>
      <c r="F19" s="349">
        <f>'t9'!O18</f>
        <v>0</v>
      </c>
      <c r="G19" s="101" t="str">
        <f t="shared" si="0"/>
        <v>OK</v>
      </c>
      <c r="H19" s="349">
        <f>'t1'!M18</f>
        <v>0</v>
      </c>
      <c r="I19" s="349">
        <f>'t7'!X18</f>
        <v>0</v>
      </c>
      <c r="J19" s="349">
        <f>'t8'!AB18</f>
        <v>0</v>
      </c>
      <c r="K19" s="348">
        <f>'t9'!P18</f>
        <v>0</v>
      </c>
      <c r="L19" s="101" t="str">
        <f t="shared" si="1"/>
        <v>OK</v>
      </c>
    </row>
    <row r="20" spans="1:12" ht="12.75" customHeight="1">
      <c r="A20" s="137" t="str">
        <f>'t1'!A19</f>
        <v>DIRETTORE AMMINISTRATIVO TEMPO DET.ANNUALE (EP2)</v>
      </c>
      <c r="B20" s="187" t="str">
        <f>'t1'!B19</f>
        <v>013EP2</v>
      </c>
      <c r="C20" s="348">
        <f>'t1'!L19</f>
        <v>0</v>
      </c>
      <c r="D20" s="348">
        <f>'t7'!W19</f>
        <v>0</v>
      </c>
      <c r="E20" s="349">
        <f>'t8'!AA19</f>
        <v>0</v>
      </c>
      <c r="F20" s="349">
        <f>'t9'!O19</f>
        <v>0</v>
      </c>
      <c r="G20" s="101" t="str">
        <f t="shared" si="0"/>
        <v>OK</v>
      </c>
      <c r="H20" s="349">
        <f>'t1'!M19</f>
        <v>0</v>
      </c>
      <c r="I20" s="349">
        <f>'t7'!X19</f>
        <v>0</v>
      </c>
      <c r="J20" s="349">
        <f>'t8'!AB19</f>
        <v>0</v>
      </c>
      <c r="K20" s="348">
        <f>'t9'!P19</f>
        <v>0</v>
      </c>
      <c r="L20" s="101" t="str">
        <f t="shared" si="1"/>
        <v>OK</v>
      </c>
    </row>
    <row r="21" spans="1:12" ht="12.75" customHeight="1">
      <c r="A21" s="137" t="str">
        <f>'t1'!A20</f>
        <v>DIRETTORE DELL UFFICIO DI RAGIONERIA TEMPO DET.ANNUALE (EP1)</v>
      </c>
      <c r="B21" s="187" t="str">
        <f>'t1'!B20</f>
        <v>013160</v>
      </c>
      <c r="C21" s="348">
        <f>'t1'!L20</f>
        <v>0</v>
      </c>
      <c r="D21" s="348">
        <f>'t7'!W20</f>
        <v>0</v>
      </c>
      <c r="E21" s="349">
        <f>'t8'!AA20</f>
        <v>0</v>
      </c>
      <c r="F21" s="349">
        <f>'t9'!O20</f>
        <v>0</v>
      </c>
      <c r="G21" s="101" t="str">
        <f t="shared" si="0"/>
        <v>OK</v>
      </c>
      <c r="H21" s="349">
        <f>'t1'!M20</f>
        <v>0</v>
      </c>
      <c r="I21" s="349">
        <f>'t7'!X20</f>
        <v>0</v>
      </c>
      <c r="J21" s="349">
        <f>'t8'!AB20</f>
        <v>0</v>
      </c>
      <c r="K21" s="348">
        <f>'t9'!P20</f>
        <v>0</v>
      </c>
      <c r="L21" s="101" t="str">
        <f t="shared" si="1"/>
        <v>OK</v>
      </c>
    </row>
    <row r="22" spans="1:12" ht="12.75" customHeight="1">
      <c r="A22" s="137" t="str">
        <f>'t1'!A21</f>
        <v>DIRETTORE AMMINISTRATIVO T. DET. TERMINE ATTIV DIDATT(EP2)</v>
      </c>
      <c r="B22" s="187" t="str">
        <f>'t1'!B21</f>
        <v>013E2N</v>
      </c>
      <c r="C22" s="348">
        <f>'t1'!L21</f>
        <v>0</v>
      </c>
      <c r="D22" s="348">
        <f>'t7'!W21</f>
        <v>0</v>
      </c>
      <c r="E22" s="349">
        <f>'t8'!AA21</f>
        <v>0</v>
      </c>
      <c r="F22" s="349">
        <f>'t9'!O21</f>
        <v>0</v>
      </c>
      <c r="G22" s="101" t="str">
        <f t="shared" si="0"/>
        <v>OK</v>
      </c>
      <c r="H22" s="349">
        <f>'t1'!M21</f>
        <v>0</v>
      </c>
      <c r="I22" s="349">
        <f>'t7'!X21</f>
        <v>0</v>
      </c>
      <c r="J22" s="349">
        <f>'t8'!AB21</f>
        <v>0</v>
      </c>
      <c r="K22" s="348">
        <f>'t9'!P21</f>
        <v>0</v>
      </c>
      <c r="L22" s="101" t="str">
        <f t="shared" si="1"/>
        <v>OK</v>
      </c>
    </row>
    <row r="23" spans="1:12" ht="12.75" customHeight="1">
      <c r="A23" s="137" t="str">
        <f>'t1'!A22</f>
        <v>DIRETTORE UFF. RAGIONERIA T. DET. TERM. ATTIV DIDATT(EP1)</v>
      </c>
      <c r="B23" s="187" t="str">
        <f>'t1'!B22</f>
        <v>013E1N</v>
      </c>
      <c r="C23" s="348">
        <f>'t1'!L22</f>
        <v>0</v>
      </c>
      <c r="D23" s="348">
        <f>'t7'!W22</f>
        <v>0</v>
      </c>
      <c r="E23" s="349">
        <f>'t8'!AA22</f>
        <v>0</v>
      </c>
      <c r="F23" s="349">
        <f>'t9'!O22</f>
        <v>0</v>
      </c>
      <c r="G23" s="101" t="str">
        <f t="shared" si="0"/>
        <v>OK</v>
      </c>
      <c r="H23" s="349">
        <f>'t1'!M22</f>
        <v>0</v>
      </c>
      <c r="I23" s="349">
        <f>'t7'!X22</f>
        <v>0</v>
      </c>
      <c r="J23" s="349">
        <f>'t8'!AB22</f>
        <v>0</v>
      </c>
      <c r="K23" s="348">
        <f>'t9'!P22</f>
        <v>0</v>
      </c>
      <c r="L23" s="101" t="str">
        <f t="shared" si="1"/>
        <v>OK</v>
      </c>
    </row>
    <row r="24" spans="1:12" ht="12.75" customHeight="1">
      <c r="A24" s="137" t="str">
        <f>'t1'!A23</f>
        <v>COORD. DI BIBLIOT., COORD. TEC. E AMM. TEMPO DET.ANNUALE</v>
      </c>
      <c r="B24" s="187" t="str">
        <f>'t1'!B23</f>
        <v>013DDE</v>
      </c>
      <c r="C24" s="348">
        <f>'t1'!L23</f>
        <v>0</v>
      </c>
      <c r="D24" s="348">
        <f>'t7'!W23</f>
        <v>0</v>
      </c>
      <c r="E24" s="349">
        <f>'t8'!AA23</f>
        <v>0</v>
      </c>
      <c r="F24" s="349">
        <f>'t9'!O23</f>
        <v>0</v>
      </c>
      <c r="G24" s="101" t="str">
        <f t="shared" si="0"/>
        <v>OK</v>
      </c>
      <c r="H24" s="349">
        <f>'t1'!M23</f>
        <v>0</v>
      </c>
      <c r="I24" s="349">
        <f>'t7'!X23</f>
        <v>0</v>
      </c>
      <c r="J24" s="349">
        <f>'t8'!AB23</f>
        <v>0</v>
      </c>
      <c r="K24" s="348">
        <f>'t9'!P23</f>
        <v>0</v>
      </c>
      <c r="L24" s="101" t="str">
        <f t="shared" si="1"/>
        <v>OK</v>
      </c>
    </row>
    <row r="25" spans="1:12" ht="12.75" customHeight="1">
      <c r="A25" s="137" t="str">
        <f>'t1'!A24</f>
        <v>COLLAB. TEC. AMMIN. DI BIBLIOT. E DI LAB. TEMPO DET.ANNUALE</v>
      </c>
      <c r="B25" s="187" t="str">
        <f>'t1'!B24</f>
        <v>013CDE</v>
      </c>
      <c r="C25" s="348">
        <f>'t1'!L24</f>
        <v>0</v>
      </c>
      <c r="D25" s="348">
        <f>'t7'!W24</f>
        <v>0</v>
      </c>
      <c r="E25" s="349">
        <f>'t8'!AA24</f>
        <v>0</v>
      </c>
      <c r="F25" s="349">
        <f>'t9'!O24</f>
        <v>0</v>
      </c>
      <c r="G25" s="101" t="str">
        <f t="shared" si="0"/>
        <v>OK</v>
      </c>
      <c r="H25" s="349">
        <f>'t1'!M24</f>
        <v>0</v>
      </c>
      <c r="I25" s="349">
        <f>'t7'!X24</f>
        <v>0</v>
      </c>
      <c r="J25" s="349">
        <f>'t8'!AB24</f>
        <v>0</v>
      </c>
      <c r="K25" s="348">
        <f>'t9'!P24</f>
        <v>0</v>
      </c>
      <c r="L25" s="101" t="str">
        <f t="shared" si="1"/>
        <v>OK</v>
      </c>
    </row>
    <row r="26" spans="1:12" ht="12.75" customHeight="1">
      <c r="A26" s="137" t="str">
        <f>'t1'!A25</f>
        <v>ASSIST. AMMINISTRATIVO TEMPO DET.ANNUALE</v>
      </c>
      <c r="B26" s="187" t="str">
        <f>'t1'!B25</f>
        <v>012118</v>
      </c>
      <c r="C26" s="348">
        <f>'t1'!L25</f>
        <v>1</v>
      </c>
      <c r="D26" s="348">
        <f>'t7'!W25</f>
        <v>1</v>
      </c>
      <c r="E26" s="349">
        <f>'t8'!AA25</f>
        <v>1</v>
      </c>
      <c r="F26" s="349">
        <f>'t9'!O25</f>
        <v>1</v>
      </c>
      <c r="G26" s="101" t="str">
        <f t="shared" si="0"/>
        <v>OK</v>
      </c>
      <c r="H26" s="349">
        <f>'t1'!M25</f>
        <v>0</v>
      </c>
      <c r="I26" s="349">
        <f>'t7'!X25</f>
        <v>0</v>
      </c>
      <c r="J26" s="349">
        <f>'t8'!AB25</f>
        <v>0</v>
      </c>
      <c r="K26" s="348">
        <f>'t9'!P25</f>
        <v>0</v>
      </c>
      <c r="L26" s="101" t="str">
        <f t="shared" si="1"/>
        <v>OK</v>
      </c>
    </row>
    <row r="27" spans="1:12" ht="12.75" customHeight="1">
      <c r="A27" s="137" t="str">
        <f>'t1'!A26</f>
        <v>COADIUTORE TEMPO DET.ANNUALE</v>
      </c>
      <c r="B27" s="187" t="str">
        <f>'t1'!B26</f>
        <v>011124</v>
      </c>
      <c r="C27" s="348">
        <f>'t1'!L26</f>
        <v>2</v>
      </c>
      <c r="D27" s="348">
        <f>'t7'!W26</f>
        <v>2</v>
      </c>
      <c r="E27" s="349">
        <f>'t8'!AA26</f>
        <v>2</v>
      </c>
      <c r="F27" s="349">
        <f>'t9'!O26</f>
        <v>2</v>
      </c>
      <c r="G27" s="101" t="str">
        <f t="shared" si="0"/>
        <v>OK</v>
      </c>
      <c r="H27" s="349">
        <f>'t1'!M26</f>
        <v>2</v>
      </c>
      <c r="I27" s="349">
        <f>'t7'!X26</f>
        <v>2</v>
      </c>
      <c r="J27" s="349">
        <f>'t8'!AB26</f>
        <v>2</v>
      </c>
      <c r="K27" s="348">
        <f>'t9'!P26</f>
        <v>2</v>
      </c>
      <c r="L27" s="101" t="str">
        <f t="shared" si="1"/>
        <v>OK</v>
      </c>
    </row>
    <row r="28" spans="1:12" ht="12.75" customHeight="1">
      <c r="A28" s="137" t="str">
        <f>'t1'!A27</f>
        <v>COORD. BIBL., COORD. TEC. E AMM. T. DET. TERM. ATTIV DIDATT</v>
      </c>
      <c r="B28" s="187" t="str">
        <f>'t1'!B27</f>
        <v>013DDN</v>
      </c>
      <c r="C28" s="348">
        <f>'t1'!L27</f>
        <v>0</v>
      </c>
      <c r="D28" s="348">
        <f>'t7'!W27</f>
        <v>0</v>
      </c>
      <c r="E28" s="349">
        <f>'t8'!AA27</f>
        <v>0</v>
      </c>
      <c r="F28" s="349">
        <f>'t9'!O27</f>
        <v>0</v>
      </c>
      <c r="G28" s="101" t="str">
        <f t="shared" si="0"/>
        <v>OK</v>
      </c>
      <c r="H28" s="349">
        <f>'t1'!M27</f>
        <v>0</v>
      </c>
      <c r="I28" s="349">
        <f>'t7'!X27</f>
        <v>0</v>
      </c>
      <c r="J28" s="349">
        <f>'t8'!AB27</f>
        <v>0</v>
      </c>
      <c r="K28" s="348">
        <f>'t9'!P27</f>
        <v>0</v>
      </c>
      <c r="L28" s="101" t="str">
        <f t="shared" si="1"/>
        <v>OK</v>
      </c>
    </row>
    <row r="29" spans="1:12" ht="12.75" customHeight="1">
      <c r="A29" s="137" t="str">
        <f>'t1'!A28</f>
        <v>COLLAB. TEC. AMM. BIBL. E DI LAB. T. D. TERM. ATTIV DIDATT</v>
      </c>
      <c r="B29" s="187" t="str">
        <f>'t1'!B28</f>
        <v>013CDN</v>
      </c>
      <c r="C29" s="348">
        <f>'t1'!L28</f>
        <v>0</v>
      </c>
      <c r="D29" s="348">
        <f>'t7'!W28</f>
        <v>0</v>
      </c>
      <c r="E29" s="349">
        <f>'t8'!AA28</f>
        <v>0</v>
      </c>
      <c r="F29" s="349">
        <f>'t9'!O28</f>
        <v>0</v>
      </c>
      <c r="G29" s="101" t="str">
        <f t="shared" si="0"/>
        <v>OK</v>
      </c>
      <c r="H29" s="349">
        <f>'t1'!M28</f>
        <v>0</v>
      </c>
      <c r="I29" s="349">
        <f>'t7'!X28</f>
        <v>0</v>
      </c>
      <c r="J29" s="349">
        <f>'t8'!AB28</f>
        <v>0</v>
      </c>
      <c r="K29" s="348">
        <f>'t9'!P28</f>
        <v>0</v>
      </c>
      <c r="L29" s="101" t="str">
        <f t="shared" si="1"/>
        <v>OK</v>
      </c>
    </row>
    <row r="30" spans="1:12" ht="12.75" customHeight="1">
      <c r="A30" s="137" t="str">
        <f>'t1'!A29</f>
        <v>ASSISTENTE AMMINISTRATIVO TEM.DET. TERMINE ATTIV DIDATT</v>
      </c>
      <c r="B30" s="187" t="str">
        <f>'t1'!B29</f>
        <v>016509</v>
      </c>
      <c r="C30" s="348">
        <f>'t1'!L29</f>
        <v>0</v>
      </c>
      <c r="D30" s="348">
        <f>'t7'!W29</f>
        <v>0</v>
      </c>
      <c r="E30" s="349">
        <f>'t8'!AA29</f>
        <v>0</v>
      </c>
      <c r="F30" s="349">
        <f>'t9'!O29</f>
        <v>0</v>
      </c>
      <c r="G30" s="101" t="str">
        <f t="shared" si="0"/>
        <v>OK</v>
      </c>
      <c r="H30" s="349">
        <f>'t1'!M29</f>
        <v>0</v>
      </c>
      <c r="I30" s="349">
        <f>'t7'!X29</f>
        <v>0</v>
      </c>
      <c r="J30" s="349">
        <f>'t8'!AB29</f>
        <v>0</v>
      </c>
      <c r="K30" s="348">
        <f>'t9'!P29</f>
        <v>0</v>
      </c>
      <c r="L30" s="101" t="str">
        <f t="shared" si="1"/>
        <v>OK</v>
      </c>
    </row>
    <row r="31" spans="1:12" ht="12.75" customHeight="1">
      <c r="A31" s="137" t="str">
        <f>'t1'!A30</f>
        <v>COADIUTORE TEMPO DET. TERMINE ATTIV DIDATT</v>
      </c>
      <c r="B31" s="187" t="str">
        <f>'t1'!B30</f>
        <v>011CNA</v>
      </c>
      <c r="C31" s="348">
        <f>'t1'!L30</f>
        <v>0</v>
      </c>
      <c r="D31" s="348">
        <f>'t7'!W30</f>
        <v>0</v>
      </c>
      <c r="E31" s="349">
        <f>'t8'!AA30</f>
        <v>0</v>
      </c>
      <c r="F31" s="349">
        <f>'t9'!O30</f>
        <v>0</v>
      </c>
      <c r="G31" s="101" t="str">
        <f t="shared" si="0"/>
        <v>OK</v>
      </c>
      <c r="H31" s="349">
        <f>'t1'!M30</f>
        <v>0</v>
      </c>
      <c r="I31" s="349">
        <f>'t7'!X30</f>
        <v>0</v>
      </c>
      <c r="J31" s="349">
        <f>'t8'!AB30</f>
        <v>0</v>
      </c>
      <c r="K31" s="348">
        <f>'t9'!P30</f>
        <v>0</v>
      </c>
      <c r="L31" s="101" t="str">
        <f t="shared" si="1"/>
        <v>OK</v>
      </c>
    </row>
    <row r="32" spans="1:12" ht="15.75" customHeight="1">
      <c r="A32" s="137" t="str">
        <f>'t1'!A31</f>
        <v>TOTALE</v>
      </c>
      <c r="B32" s="177"/>
      <c r="C32" s="349">
        <f>SUM(C7:C31)</f>
        <v>35</v>
      </c>
      <c r="D32" s="349">
        <f>SUM(D7:D31)</f>
        <v>35</v>
      </c>
      <c r="E32" s="349">
        <f>SUM(E7:E31)</f>
        <v>35</v>
      </c>
      <c r="F32" s="349">
        <f>SUM(F7:F31)</f>
        <v>35</v>
      </c>
      <c r="G32" s="101" t="str">
        <f>IF(COUNTIF(C32:F32,C32)=4,"OK","ERRORE")</f>
        <v>OK</v>
      </c>
      <c r="H32" s="349">
        <f>SUM(H7:H31)</f>
        <v>26</v>
      </c>
      <c r="I32" s="349">
        <f>SUM(I7:I31)</f>
        <v>26</v>
      </c>
      <c r="J32" s="349">
        <f>SUM(J7:J31)</f>
        <v>26</v>
      </c>
      <c r="K32" s="349">
        <f>SUM(K7:K31)</f>
        <v>26</v>
      </c>
      <c r="L32" s="101" t="str">
        <f>IF(COUNTIF(H32:K32,H32)=4,"OK","ERRORE")</f>
        <v>OK</v>
      </c>
    </row>
  </sheetData>
  <sheetProtection password="EA98" sheet="1" formatColumns="0" selectLockedCells="1" selectUnlockedCells="1"/>
  <mergeCells count="4">
    <mergeCell ref="C4:G4"/>
    <mergeCell ref="H4:L4"/>
    <mergeCell ref="E2:L2"/>
    <mergeCell ref="A1:J1"/>
  </mergeCells>
  <printOptions horizontalCentered="1" verticalCentered="1"/>
  <pageMargins left="0" right="0" top="0.15748031496062992" bottom="0.15748031496062992" header="0.1968503937007874" footer="0.15748031496062992"/>
  <pageSetup horizontalDpi="300" verticalDpi="3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4">
    <tabColor indexed="10"/>
  </sheetPr>
  <dimension ref="A1:AB33"/>
  <sheetViews>
    <sheetView showGridLines="0" zoomScalePageLayoutView="0" workbookViewId="0" topLeftCell="A1">
      <pane xSplit="2" ySplit="7" topLeftCell="W26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9.33203125" defaultRowHeight="10.5"/>
  <cols>
    <col min="1" max="1" width="57.83203125" style="5" customWidth="1"/>
    <col min="2" max="2" width="78.16015625" style="7" customWidth="1"/>
    <col min="3" max="3" width="10.83203125" style="7" customWidth="1"/>
    <col min="4" max="5" width="12.83203125" style="7" customWidth="1"/>
    <col min="6" max="6" width="13.66015625" style="7" customWidth="1"/>
    <col min="7" max="11" width="12.83203125" style="7" customWidth="1"/>
    <col min="12" max="14" width="13.33203125" style="7" customWidth="1"/>
    <col min="15" max="15" width="12.66015625" style="7" bestFit="1" customWidth="1"/>
    <col min="16" max="16" width="10.83203125" style="7" customWidth="1"/>
    <col min="17" max="24" width="12.83203125" style="7" customWidth="1"/>
    <col min="25" max="27" width="13.33203125" style="7" customWidth="1"/>
    <col min="28" max="28" width="12.66015625" style="7" bestFit="1" customWidth="1"/>
    <col min="29" max="16384" width="9.33203125" style="5" customWidth="1"/>
  </cols>
  <sheetData>
    <row r="1" spans="1:28" ht="30" customHeight="1">
      <c r="A1" s="1155" t="str">
        <f>'t1'!A1</f>
        <v>COMPARTO AFAM - anno 2016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  <c r="P1" s="1155"/>
      <c r="Q1" s="1155"/>
      <c r="R1" s="1155"/>
      <c r="S1" s="1155"/>
      <c r="T1" s="1155"/>
      <c r="U1" s="1155"/>
      <c r="V1" s="1155"/>
      <c r="W1" s="1155"/>
      <c r="X1" s="1155"/>
      <c r="Y1" s="1155"/>
      <c r="Z1" s="5"/>
      <c r="AA1" s="5"/>
      <c r="AB1" s="767"/>
    </row>
    <row r="2" spans="1:28" ht="36" customHeight="1">
      <c r="A2" s="1244" t="s">
        <v>637</v>
      </c>
      <c r="B2" s="1244"/>
      <c r="C2" s="1244"/>
      <c r="D2" s="1244"/>
      <c r="E2" s="1244"/>
      <c r="F2" s="1244"/>
      <c r="G2" s="1244"/>
      <c r="H2" s="1244"/>
      <c r="I2" s="1244"/>
      <c r="J2" s="1244"/>
      <c r="K2" s="1244"/>
      <c r="L2" s="1244"/>
      <c r="M2" s="1244"/>
      <c r="N2" s="832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832"/>
      <c r="AB2" s="509"/>
    </row>
    <row r="3" spans="1:28" ht="18.75" customHeight="1">
      <c r="A3" s="197" t="str">
        <f>"Tavola di coerenza tra presenti al 31.12."&amp;'t1'!M1&amp;" rilevati in Tabella 1 con il personale rilevato in Tabella 3 e con i presenti rilevati in Tabella 10 (Squadratura 3)(*)"</f>
        <v>Tavola di coerenza tra presenti al 31.12.2016 rilevati in Tabella 1 con il personale rilevato in Tabella 3 e con i presenti rilevati in Tabella 10 (Squadratura 3)(*)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2">
      <c r="A4" s="325" t="s">
        <v>237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2.75">
      <c r="A5" s="181"/>
      <c r="B5" s="178"/>
      <c r="C5" s="1241" t="s">
        <v>268</v>
      </c>
      <c r="D5" s="1242"/>
      <c r="E5" s="1242"/>
      <c r="F5" s="1242"/>
      <c r="G5" s="1242"/>
      <c r="H5" s="1242"/>
      <c r="I5" s="1242"/>
      <c r="J5" s="1242"/>
      <c r="K5" s="1242"/>
      <c r="L5" s="1242"/>
      <c r="M5" s="1242"/>
      <c r="N5" s="1242"/>
      <c r="O5" s="1242"/>
      <c r="P5" s="1241" t="s">
        <v>269</v>
      </c>
      <c r="Q5" s="1242"/>
      <c r="R5" s="1242"/>
      <c r="S5" s="1242"/>
      <c r="T5" s="1242"/>
      <c r="U5" s="1242"/>
      <c r="V5" s="1242"/>
      <c r="W5" s="1242"/>
      <c r="X5" s="1242"/>
      <c r="Y5" s="1242"/>
      <c r="Z5" s="1242"/>
      <c r="AA5" s="1242"/>
      <c r="AB5" s="1243"/>
    </row>
    <row r="6" spans="1:28" s="196" customFormat="1" ht="64.5" customHeight="1">
      <c r="A6" s="185" t="s">
        <v>207</v>
      </c>
      <c r="B6" s="185" t="s">
        <v>206</v>
      </c>
      <c r="C6" s="185" t="str">
        <f>"Presenti 31.12."&amp;'t1'!M1&amp;" (Tab 1)"</f>
        <v>Presenti 31.12.2016 (Tab 1)</v>
      </c>
      <c r="D6" s="185" t="s">
        <v>220</v>
      </c>
      <c r="E6" s="185" t="s">
        <v>219</v>
      </c>
      <c r="F6" s="185" t="s">
        <v>335</v>
      </c>
      <c r="G6" s="185" t="s">
        <v>236</v>
      </c>
      <c r="H6" s="185" t="s">
        <v>221</v>
      </c>
      <c r="I6" s="185" t="s">
        <v>336</v>
      </c>
      <c r="J6" s="185" t="s">
        <v>6</v>
      </c>
      <c r="K6" s="185" t="s">
        <v>7</v>
      </c>
      <c r="L6" s="185" t="s">
        <v>238</v>
      </c>
      <c r="M6" s="185" t="s">
        <v>239</v>
      </c>
      <c r="N6" s="643" t="s">
        <v>623</v>
      </c>
      <c r="O6" s="643" t="s">
        <v>624</v>
      </c>
      <c r="P6" s="185" t="str">
        <f>"Presenti 31.12."&amp;'t1'!M1&amp;" (Tab 1)"</f>
        <v>Presenti 31.12.2016 (Tab 1)</v>
      </c>
      <c r="Q6" s="185" t="s">
        <v>220</v>
      </c>
      <c r="R6" s="185" t="s">
        <v>219</v>
      </c>
      <c r="S6" s="185" t="s">
        <v>335</v>
      </c>
      <c r="T6" s="185" t="s">
        <v>236</v>
      </c>
      <c r="U6" s="185" t="s">
        <v>221</v>
      </c>
      <c r="V6" s="185" t="s">
        <v>336</v>
      </c>
      <c r="W6" s="185" t="s">
        <v>6</v>
      </c>
      <c r="X6" s="185" t="s">
        <v>7</v>
      </c>
      <c r="Y6" s="185" t="s">
        <v>238</v>
      </c>
      <c r="Z6" s="185" t="s">
        <v>239</v>
      </c>
      <c r="AA6" s="643" t="s">
        <v>623</v>
      </c>
      <c r="AB6" s="643" t="s">
        <v>624</v>
      </c>
    </row>
    <row r="7" spans="1:28" s="194" customFormat="1" ht="21.75">
      <c r="A7" s="193"/>
      <c r="B7" s="193"/>
      <c r="C7" s="190" t="s">
        <v>208</v>
      </c>
      <c r="D7" s="190" t="s">
        <v>209</v>
      </c>
      <c r="E7" s="190" t="s">
        <v>210</v>
      </c>
      <c r="F7" s="190" t="s">
        <v>211</v>
      </c>
      <c r="G7" s="191" t="s">
        <v>212</v>
      </c>
      <c r="H7" s="191" t="s">
        <v>232</v>
      </c>
      <c r="I7" s="191" t="s">
        <v>214</v>
      </c>
      <c r="J7" s="191" t="s">
        <v>222</v>
      </c>
      <c r="K7" s="191" t="s">
        <v>223</v>
      </c>
      <c r="L7" s="191" t="s">
        <v>8</v>
      </c>
      <c r="M7" s="191" t="s">
        <v>9</v>
      </c>
      <c r="N7" s="191" t="s">
        <v>625</v>
      </c>
      <c r="O7" s="191" t="s">
        <v>10</v>
      </c>
      <c r="P7" s="190" t="s">
        <v>224</v>
      </c>
      <c r="Q7" s="190" t="s">
        <v>225</v>
      </c>
      <c r="R7" s="190" t="s">
        <v>226</v>
      </c>
      <c r="S7" s="190" t="s">
        <v>337</v>
      </c>
      <c r="T7" s="191" t="s">
        <v>227</v>
      </c>
      <c r="U7" s="191" t="s">
        <v>338</v>
      </c>
      <c r="V7" s="191" t="s">
        <v>339</v>
      </c>
      <c r="W7" s="191" t="s">
        <v>11</v>
      </c>
      <c r="X7" s="191" t="s">
        <v>340</v>
      </c>
      <c r="Y7" s="191" t="s">
        <v>12</v>
      </c>
      <c r="Z7" s="191" t="s">
        <v>13</v>
      </c>
      <c r="AA7" s="191" t="s">
        <v>626</v>
      </c>
      <c r="AB7" s="191" t="s">
        <v>14</v>
      </c>
    </row>
    <row r="8" spans="1:28" ht="12.75" customHeight="1">
      <c r="A8" s="137" t="str">
        <f>'t1'!A6</f>
        <v>DIRIGENTE SCOLASTICO</v>
      </c>
      <c r="B8" s="187" t="str">
        <f>'t1'!B6</f>
        <v>0D0158</v>
      </c>
      <c r="C8" s="348">
        <f>'t1'!L6</f>
        <v>0</v>
      </c>
      <c r="D8" s="348">
        <f>'t3'!M6</f>
        <v>0</v>
      </c>
      <c r="E8" s="349">
        <f>'t3'!O6</f>
        <v>0</v>
      </c>
      <c r="F8" s="349">
        <f>'t3'!Q6</f>
        <v>0</v>
      </c>
      <c r="G8" s="349">
        <f>'t3'!C6</f>
        <v>0</v>
      </c>
      <c r="H8" s="349">
        <f>'t3'!E6</f>
        <v>0</v>
      </c>
      <c r="I8" s="349">
        <f>'t3'!G6</f>
        <v>0</v>
      </c>
      <c r="J8" s="349">
        <f>'t3'!I6</f>
        <v>0</v>
      </c>
      <c r="K8" s="349">
        <f>'t3'!K6</f>
        <v>0</v>
      </c>
      <c r="L8" s="349">
        <f>C8+D8+E8+F8-G8-H8-I8-J8-K8</f>
        <v>0</v>
      </c>
      <c r="M8" s="349">
        <f>'t10'!AU6</f>
        <v>0</v>
      </c>
      <c r="N8" s="349" t="str">
        <f>IF(C8&lt;(G8+H8+I8+J8+K8),"ERRORE","OK")</f>
        <v>OK</v>
      </c>
      <c r="O8" s="101" t="str">
        <f>IF(L8=M8,"OK","ERRORE")</f>
        <v>OK</v>
      </c>
      <c r="P8" s="348">
        <f>'t1'!M6</f>
        <v>0</v>
      </c>
      <c r="Q8" s="348">
        <f>'t3'!N6</f>
        <v>0</v>
      </c>
      <c r="R8" s="349">
        <f>'t3'!P6</f>
        <v>0</v>
      </c>
      <c r="S8" s="349">
        <f>'t3'!R6</f>
        <v>0</v>
      </c>
      <c r="T8" s="349">
        <f>'t3'!D6</f>
        <v>0</v>
      </c>
      <c r="U8" s="349">
        <f>'t3'!F6</f>
        <v>0</v>
      </c>
      <c r="V8" s="349">
        <f>'t3'!H6</f>
        <v>0</v>
      </c>
      <c r="W8" s="349">
        <f>'t3'!J6</f>
        <v>0</v>
      </c>
      <c r="X8" s="349">
        <f>'t3'!L6</f>
        <v>0</v>
      </c>
      <c r="Y8" s="349">
        <f aca="true" t="shared" si="0" ref="Y8:Y32">P8+Q8+R8+S8-T8-U8-V8-W8-X8</f>
        <v>0</v>
      </c>
      <c r="Z8" s="349">
        <f>'t10'!AV6</f>
        <v>0</v>
      </c>
      <c r="AA8" s="349" t="str">
        <f>IF(P8&lt;(T8+U8+V8+W8+X8),"ERRORE","OK")</f>
        <v>OK</v>
      </c>
      <c r="AB8" s="192" t="str">
        <f>IF(Y8=Z8,"OK","ERRORE")</f>
        <v>OK</v>
      </c>
    </row>
    <row r="9" spans="1:28" ht="12.75" customHeight="1">
      <c r="A9" s="137" t="str">
        <f>'t1'!A7</f>
        <v>PROFESSORI DI PRIMA FASCIA</v>
      </c>
      <c r="B9" s="187" t="str">
        <f>'t1'!B7</f>
        <v>018P01</v>
      </c>
      <c r="C9" s="348">
        <f>'t1'!L7</f>
        <v>5</v>
      </c>
      <c r="D9" s="348">
        <f>'t3'!M7</f>
        <v>0</v>
      </c>
      <c r="E9" s="349">
        <f>'t3'!O7</f>
        <v>0</v>
      </c>
      <c r="F9" s="349">
        <f>'t3'!Q7</f>
        <v>0</v>
      </c>
      <c r="G9" s="349">
        <f>'t3'!C7</f>
        <v>0</v>
      </c>
      <c r="H9" s="349">
        <f>'t3'!E7</f>
        <v>0</v>
      </c>
      <c r="I9" s="349">
        <f>'t3'!G7</f>
        <v>0</v>
      </c>
      <c r="J9" s="349">
        <f>'t3'!I7</f>
        <v>0</v>
      </c>
      <c r="K9" s="349">
        <f>'t3'!K7</f>
        <v>0</v>
      </c>
      <c r="L9" s="349">
        <f aca="true" t="shared" si="1" ref="L9:L32">C9+D9+E9+F9-G9-H9-I9-J9-K9</f>
        <v>5</v>
      </c>
      <c r="M9" s="349">
        <f>'t10'!AU7</f>
        <v>5</v>
      </c>
      <c r="N9" s="349" t="str">
        <f aca="true" t="shared" si="2" ref="N9:N33">IF(C9&lt;(G9+H9+I9+J9+K9),"ERRORE","OK")</f>
        <v>OK</v>
      </c>
      <c r="O9" s="101" t="str">
        <f aca="true" t="shared" si="3" ref="O9:O33">IF(L9=M9,"OK","ERRORE")</f>
        <v>OK</v>
      </c>
      <c r="P9" s="348">
        <f>'t1'!M7</f>
        <v>4</v>
      </c>
      <c r="Q9" s="348">
        <f>'t3'!N7</f>
        <v>0</v>
      </c>
      <c r="R9" s="349">
        <f>'t3'!P7</f>
        <v>0</v>
      </c>
      <c r="S9" s="349">
        <f>'t3'!R7</f>
        <v>0</v>
      </c>
      <c r="T9" s="349">
        <f>'t3'!D7</f>
        <v>0</v>
      </c>
      <c r="U9" s="349">
        <f>'t3'!F7</f>
        <v>0</v>
      </c>
      <c r="V9" s="349">
        <f>'t3'!H7</f>
        <v>0</v>
      </c>
      <c r="W9" s="349">
        <f>'t3'!J7</f>
        <v>0</v>
      </c>
      <c r="X9" s="349">
        <f>'t3'!L7</f>
        <v>0</v>
      </c>
      <c r="Y9" s="349">
        <f t="shared" si="0"/>
        <v>4</v>
      </c>
      <c r="Z9" s="349">
        <f>'t10'!AV7</f>
        <v>4</v>
      </c>
      <c r="AA9" s="349" t="str">
        <f aca="true" t="shared" si="4" ref="AA9:AA33">IF(P9&lt;(T9+U9+V9+W9+X9),"ERRORE","OK")</f>
        <v>OK</v>
      </c>
      <c r="AB9" s="192" t="str">
        <f aca="true" t="shared" si="5" ref="AB9:AB33">IF(Y9=Z9,"OK","ERRORE")</f>
        <v>OK</v>
      </c>
    </row>
    <row r="10" spans="1:28" ht="12.75" customHeight="1">
      <c r="A10" s="137" t="str">
        <f>'t1'!A8</f>
        <v>PROFESSORI DI SECONDA FASCIA</v>
      </c>
      <c r="B10" s="187" t="str">
        <f>'t1'!B8</f>
        <v>016P02</v>
      </c>
      <c r="C10" s="348">
        <f>'t1'!L8</f>
        <v>2</v>
      </c>
      <c r="D10" s="348">
        <f>'t3'!M8</f>
        <v>0</v>
      </c>
      <c r="E10" s="349">
        <f>'t3'!O8</f>
        <v>0</v>
      </c>
      <c r="F10" s="349">
        <f>'t3'!Q8</f>
        <v>0</v>
      </c>
      <c r="G10" s="349">
        <f>'t3'!C8</f>
        <v>0</v>
      </c>
      <c r="H10" s="349">
        <f>'t3'!E8</f>
        <v>0</v>
      </c>
      <c r="I10" s="349">
        <f>'t3'!G8</f>
        <v>0</v>
      </c>
      <c r="J10" s="349">
        <f>'t3'!I8</f>
        <v>0</v>
      </c>
      <c r="K10" s="349">
        <f>'t3'!K8</f>
        <v>0</v>
      </c>
      <c r="L10" s="349">
        <f t="shared" si="1"/>
        <v>2</v>
      </c>
      <c r="M10" s="349">
        <f>'t10'!AU8</f>
        <v>2</v>
      </c>
      <c r="N10" s="349" t="str">
        <f t="shared" si="2"/>
        <v>OK</v>
      </c>
      <c r="O10" s="101" t="str">
        <f t="shared" si="3"/>
        <v>OK</v>
      </c>
      <c r="P10" s="348">
        <f>'t1'!M8</f>
        <v>5</v>
      </c>
      <c r="Q10" s="348">
        <f>'t3'!N8</f>
        <v>0</v>
      </c>
      <c r="R10" s="349">
        <f>'t3'!P8</f>
        <v>0</v>
      </c>
      <c r="S10" s="349">
        <f>'t3'!R8</f>
        <v>0</v>
      </c>
      <c r="T10" s="349">
        <f>'t3'!D8</f>
        <v>0</v>
      </c>
      <c r="U10" s="349">
        <f>'t3'!F8</f>
        <v>0</v>
      </c>
      <c r="V10" s="349">
        <f>'t3'!H8</f>
        <v>0</v>
      </c>
      <c r="W10" s="349">
        <f>'t3'!J8</f>
        <v>0</v>
      </c>
      <c r="X10" s="349">
        <f>'t3'!L8</f>
        <v>0</v>
      </c>
      <c r="Y10" s="349">
        <f t="shared" si="0"/>
        <v>5</v>
      </c>
      <c r="Z10" s="349">
        <f>'t10'!AV8</f>
        <v>5</v>
      </c>
      <c r="AA10" s="349" t="str">
        <f t="shared" si="4"/>
        <v>OK</v>
      </c>
      <c r="AB10" s="192" t="str">
        <f t="shared" si="5"/>
        <v>OK</v>
      </c>
    </row>
    <row r="11" spans="1:28" ht="12.75" customHeight="1">
      <c r="A11" s="137" t="str">
        <f>'t1'!A9</f>
        <v>DIRETTORE AMMINISTRATIVO EP2</v>
      </c>
      <c r="B11" s="187" t="str">
        <f>'t1'!B9</f>
        <v>013504</v>
      </c>
      <c r="C11" s="348">
        <f>'t1'!L9</f>
        <v>0</v>
      </c>
      <c r="D11" s="348">
        <f>'t3'!M9</f>
        <v>0</v>
      </c>
      <c r="E11" s="349">
        <f>'t3'!O9</f>
        <v>0</v>
      </c>
      <c r="F11" s="349">
        <f>'t3'!Q9</f>
        <v>0</v>
      </c>
      <c r="G11" s="349">
        <f>'t3'!C9</f>
        <v>0</v>
      </c>
      <c r="H11" s="349">
        <f>'t3'!E9</f>
        <v>0</v>
      </c>
      <c r="I11" s="349">
        <f>'t3'!G9</f>
        <v>0</v>
      </c>
      <c r="J11" s="349">
        <f>'t3'!I9</f>
        <v>0</v>
      </c>
      <c r="K11" s="349">
        <f>'t3'!K9</f>
        <v>0</v>
      </c>
      <c r="L11" s="349">
        <f t="shared" si="1"/>
        <v>0</v>
      </c>
      <c r="M11" s="349">
        <f>'t10'!AU9</f>
        <v>0</v>
      </c>
      <c r="N11" s="349" t="str">
        <f t="shared" si="2"/>
        <v>OK</v>
      </c>
      <c r="O11" s="101" t="str">
        <f t="shared" si="3"/>
        <v>OK</v>
      </c>
      <c r="P11" s="348">
        <f>'t1'!M9</f>
        <v>1</v>
      </c>
      <c r="Q11" s="348">
        <f>'t3'!N9</f>
        <v>0</v>
      </c>
      <c r="R11" s="349">
        <f>'t3'!P9</f>
        <v>0</v>
      </c>
      <c r="S11" s="349">
        <f>'t3'!R9</f>
        <v>0</v>
      </c>
      <c r="T11" s="349">
        <f>'t3'!D9</f>
        <v>0</v>
      </c>
      <c r="U11" s="349">
        <f>'t3'!F9</f>
        <v>0</v>
      </c>
      <c r="V11" s="349">
        <f>'t3'!H9</f>
        <v>0</v>
      </c>
      <c r="W11" s="349">
        <f>'t3'!J9</f>
        <v>0</v>
      </c>
      <c r="X11" s="349">
        <f>'t3'!L9</f>
        <v>0</v>
      </c>
      <c r="Y11" s="349">
        <f t="shared" si="0"/>
        <v>1</v>
      </c>
      <c r="Z11" s="349">
        <f>'t10'!AV9</f>
        <v>1</v>
      </c>
      <c r="AA11" s="349" t="str">
        <f t="shared" si="4"/>
        <v>OK</v>
      </c>
      <c r="AB11" s="192" t="str">
        <f t="shared" si="5"/>
        <v>OK</v>
      </c>
    </row>
    <row r="12" spans="1:28" ht="12.75" customHeight="1">
      <c r="A12" s="137" t="str">
        <f>'t1'!A10</f>
        <v>DIRETTORE DELL UFFICIO DI RAGIONERIA (EP1)</v>
      </c>
      <c r="B12" s="187" t="str">
        <f>'t1'!B10</f>
        <v>013159</v>
      </c>
      <c r="C12" s="348">
        <f>'t1'!L10</f>
        <v>0</v>
      </c>
      <c r="D12" s="348">
        <f>'t3'!M10</f>
        <v>0</v>
      </c>
      <c r="E12" s="349">
        <f>'t3'!O10</f>
        <v>0</v>
      </c>
      <c r="F12" s="349">
        <f>'t3'!Q10</f>
        <v>0</v>
      </c>
      <c r="G12" s="349">
        <f>'t3'!C10</f>
        <v>0</v>
      </c>
      <c r="H12" s="349">
        <f>'t3'!E10</f>
        <v>0</v>
      </c>
      <c r="I12" s="349">
        <f>'t3'!G10</f>
        <v>0</v>
      </c>
      <c r="J12" s="349">
        <f>'t3'!I10</f>
        <v>0</v>
      </c>
      <c r="K12" s="349">
        <f>'t3'!K10</f>
        <v>0</v>
      </c>
      <c r="L12" s="349">
        <f t="shared" si="1"/>
        <v>0</v>
      </c>
      <c r="M12" s="349">
        <f>'t10'!AU10</f>
        <v>0</v>
      </c>
      <c r="N12" s="349" t="str">
        <f t="shared" si="2"/>
        <v>OK</v>
      </c>
      <c r="O12" s="101" t="str">
        <f t="shared" si="3"/>
        <v>OK</v>
      </c>
      <c r="P12" s="348">
        <f>'t1'!M10</f>
        <v>1</v>
      </c>
      <c r="Q12" s="348">
        <f>'t3'!N10</f>
        <v>0</v>
      </c>
      <c r="R12" s="349">
        <f>'t3'!P10</f>
        <v>0</v>
      </c>
      <c r="S12" s="349">
        <f>'t3'!R10</f>
        <v>0</v>
      </c>
      <c r="T12" s="349">
        <f>'t3'!D10</f>
        <v>0</v>
      </c>
      <c r="U12" s="349">
        <f>'t3'!F10</f>
        <v>0</v>
      </c>
      <c r="V12" s="349">
        <f>'t3'!H10</f>
        <v>0</v>
      </c>
      <c r="W12" s="349">
        <f>'t3'!J10</f>
        <v>0</v>
      </c>
      <c r="X12" s="349">
        <f>'t3'!L10</f>
        <v>0</v>
      </c>
      <c r="Y12" s="349">
        <f t="shared" si="0"/>
        <v>1</v>
      </c>
      <c r="Z12" s="349">
        <f>'t10'!AV10</f>
        <v>1</v>
      </c>
      <c r="AA12" s="349" t="str">
        <f t="shared" si="4"/>
        <v>OK</v>
      </c>
      <c r="AB12" s="192" t="str">
        <f t="shared" si="5"/>
        <v>OK</v>
      </c>
    </row>
    <row r="13" spans="1:28" ht="12.75" customHeight="1">
      <c r="A13" s="137" t="str">
        <f>'t1'!A11</f>
        <v>COORDINATORE DI BIBLIOTECA TECNICO E AMMINISTRATIVO(D)</v>
      </c>
      <c r="B13" s="187" t="str">
        <f>'t1'!B11</f>
        <v>013DTE</v>
      </c>
      <c r="C13" s="348">
        <f>'t1'!L11</f>
        <v>0</v>
      </c>
      <c r="D13" s="348">
        <f>'t3'!M11</f>
        <v>0</v>
      </c>
      <c r="E13" s="349">
        <f>'t3'!O11</f>
        <v>0</v>
      </c>
      <c r="F13" s="349">
        <f>'t3'!Q11</f>
        <v>0</v>
      </c>
      <c r="G13" s="349">
        <f>'t3'!C11</f>
        <v>0</v>
      </c>
      <c r="H13" s="349">
        <f>'t3'!E11</f>
        <v>0</v>
      </c>
      <c r="I13" s="349">
        <f>'t3'!G11</f>
        <v>0</v>
      </c>
      <c r="J13" s="349">
        <f>'t3'!I11</f>
        <v>0</v>
      </c>
      <c r="K13" s="349">
        <f>'t3'!K11</f>
        <v>0</v>
      </c>
      <c r="L13" s="349">
        <f t="shared" si="1"/>
        <v>0</v>
      </c>
      <c r="M13" s="349">
        <f>'t10'!AU11</f>
        <v>0</v>
      </c>
      <c r="N13" s="349" t="str">
        <f t="shared" si="2"/>
        <v>OK</v>
      </c>
      <c r="O13" s="101" t="str">
        <f t="shared" si="3"/>
        <v>OK</v>
      </c>
      <c r="P13" s="348">
        <f>'t1'!M11</f>
        <v>0</v>
      </c>
      <c r="Q13" s="348">
        <f>'t3'!N11</f>
        <v>0</v>
      </c>
      <c r="R13" s="349">
        <f>'t3'!P11</f>
        <v>0</v>
      </c>
      <c r="S13" s="349">
        <f>'t3'!R11</f>
        <v>0</v>
      </c>
      <c r="T13" s="349">
        <f>'t3'!D11</f>
        <v>0</v>
      </c>
      <c r="U13" s="349">
        <f>'t3'!F11</f>
        <v>0</v>
      </c>
      <c r="V13" s="349">
        <f>'t3'!H11</f>
        <v>0</v>
      </c>
      <c r="W13" s="349">
        <f>'t3'!J11</f>
        <v>0</v>
      </c>
      <c r="X13" s="349">
        <f>'t3'!L11</f>
        <v>0</v>
      </c>
      <c r="Y13" s="349">
        <f t="shared" si="0"/>
        <v>0</v>
      </c>
      <c r="Z13" s="349">
        <f>'t10'!AV11</f>
        <v>0</v>
      </c>
      <c r="AA13" s="349" t="str">
        <f t="shared" si="4"/>
        <v>OK</v>
      </c>
      <c r="AB13" s="192" t="str">
        <f t="shared" si="5"/>
        <v>OK</v>
      </c>
    </row>
    <row r="14" spans="1:28" ht="12.75" customHeight="1">
      <c r="A14" s="137" t="str">
        <f>'t1'!A12</f>
        <v>COLLABORATORE TEC. AMMIN. DI BIBLIOT. E DI LAB. (C)</v>
      </c>
      <c r="B14" s="187" t="str">
        <f>'t1'!B12</f>
        <v>013CTE</v>
      </c>
      <c r="C14" s="348">
        <f>'t1'!L12</f>
        <v>0</v>
      </c>
      <c r="D14" s="348">
        <f>'t3'!M12</f>
        <v>0</v>
      </c>
      <c r="E14" s="349">
        <f>'t3'!O12</f>
        <v>0</v>
      </c>
      <c r="F14" s="349">
        <f>'t3'!Q12</f>
        <v>0</v>
      </c>
      <c r="G14" s="349">
        <f>'t3'!C12</f>
        <v>0</v>
      </c>
      <c r="H14" s="349">
        <f>'t3'!E12</f>
        <v>0</v>
      </c>
      <c r="I14" s="349">
        <f>'t3'!G12</f>
        <v>0</v>
      </c>
      <c r="J14" s="349">
        <f>'t3'!I12</f>
        <v>0</v>
      </c>
      <c r="K14" s="349">
        <f>'t3'!K12</f>
        <v>0</v>
      </c>
      <c r="L14" s="349">
        <f t="shared" si="1"/>
        <v>0</v>
      </c>
      <c r="M14" s="349">
        <f>'t10'!AU12</f>
        <v>0</v>
      </c>
      <c r="N14" s="349" t="str">
        <f t="shared" si="2"/>
        <v>OK</v>
      </c>
      <c r="O14" s="101" t="str">
        <f t="shared" si="3"/>
        <v>OK</v>
      </c>
      <c r="P14" s="348">
        <f>'t1'!M12</f>
        <v>0</v>
      </c>
      <c r="Q14" s="348">
        <f>'t3'!N12</f>
        <v>0</v>
      </c>
      <c r="R14" s="349">
        <f>'t3'!P12</f>
        <v>0</v>
      </c>
      <c r="S14" s="349">
        <f>'t3'!R12</f>
        <v>0</v>
      </c>
      <c r="T14" s="349">
        <f>'t3'!D12</f>
        <v>0</v>
      </c>
      <c r="U14" s="349">
        <f>'t3'!F12</f>
        <v>0</v>
      </c>
      <c r="V14" s="349">
        <f>'t3'!H12</f>
        <v>0</v>
      </c>
      <c r="W14" s="349">
        <f>'t3'!J12</f>
        <v>0</v>
      </c>
      <c r="X14" s="349">
        <f>'t3'!L12</f>
        <v>0</v>
      </c>
      <c r="Y14" s="349">
        <f t="shared" si="0"/>
        <v>0</v>
      </c>
      <c r="Z14" s="349">
        <f>'t10'!AV12</f>
        <v>0</v>
      </c>
      <c r="AA14" s="349" t="str">
        <f t="shared" si="4"/>
        <v>OK</v>
      </c>
      <c r="AB14" s="192" t="str">
        <f t="shared" si="5"/>
        <v>OK</v>
      </c>
    </row>
    <row r="15" spans="1:28" ht="12.75" customHeight="1">
      <c r="A15" s="137" t="str">
        <f>'t1'!A13</f>
        <v>ASSISTENTE AMMINISTRATIVO (B)</v>
      </c>
      <c r="B15" s="187" t="str">
        <f>'t1'!B13</f>
        <v>012117</v>
      </c>
      <c r="C15" s="348">
        <f>'t1'!L13</f>
        <v>1</v>
      </c>
      <c r="D15" s="348">
        <f>'t3'!M13</f>
        <v>0</v>
      </c>
      <c r="E15" s="349">
        <f>'t3'!O13</f>
        <v>0</v>
      </c>
      <c r="F15" s="349">
        <f>'t3'!Q13</f>
        <v>0</v>
      </c>
      <c r="G15" s="349">
        <f>'t3'!C13</f>
        <v>0</v>
      </c>
      <c r="H15" s="349">
        <f>'t3'!E13</f>
        <v>0</v>
      </c>
      <c r="I15" s="349">
        <f>'t3'!G13</f>
        <v>0</v>
      </c>
      <c r="J15" s="349">
        <f>'t3'!I13</f>
        <v>0</v>
      </c>
      <c r="K15" s="349">
        <f>'t3'!K13</f>
        <v>0</v>
      </c>
      <c r="L15" s="349">
        <f t="shared" si="1"/>
        <v>1</v>
      </c>
      <c r="M15" s="349">
        <f>'t10'!AU13</f>
        <v>1</v>
      </c>
      <c r="N15" s="349" t="str">
        <f t="shared" si="2"/>
        <v>OK</v>
      </c>
      <c r="O15" s="101" t="str">
        <f t="shared" si="3"/>
        <v>OK</v>
      </c>
      <c r="P15" s="348">
        <f>'t1'!M13</f>
        <v>3</v>
      </c>
      <c r="Q15" s="348">
        <f>'t3'!N13</f>
        <v>0</v>
      </c>
      <c r="R15" s="349">
        <f>'t3'!P13</f>
        <v>0</v>
      </c>
      <c r="S15" s="349">
        <f>'t3'!R13</f>
        <v>0</v>
      </c>
      <c r="T15" s="349">
        <f>'t3'!D13</f>
        <v>0</v>
      </c>
      <c r="U15" s="349">
        <f>'t3'!F13</f>
        <v>0</v>
      </c>
      <c r="V15" s="349">
        <f>'t3'!H13</f>
        <v>0</v>
      </c>
      <c r="W15" s="349">
        <f>'t3'!J13</f>
        <v>0</v>
      </c>
      <c r="X15" s="349">
        <f>'t3'!L13</f>
        <v>0</v>
      </c>
      <c r="Y15" s="349">
        <f t="shared" si="0"/>
        <v>3</v>
      </c>
      <c r="Z15" s="349">
        <f>'t10'!AV13</f>
        <v>3</v>
      </c>
      <c r="AA15" s="349" t="str">
        <f t="shared" si="4"/>
        <v>OK</v>
      </c>
      <c r="AB15" s="192" t="str">
        <f t="shared" si="5"/>
        <v>OK</v>
      </c>
    </row>
    <row r="16" spans="1:28" ht="12.75" customHeight="1">
      <c r="A16" s="137" t="str">
        <f>'t1'!A14</f>
        <v>COADIUTORE (A)</v>
      </c>
      <c r="B16" s="187" t="str">
        <f>'t1'!B14</f>
        <v>011121</v>
      </c>
      <c r="C16" s="348">
        <f>'t1'!L14</f>
        <v>3</v>
      </c>
      <c r="D16" s="348">
        <f>'t3'!M14</f>
        <v>0</v>
      </c>
      <c r="E16" s="349">
        <f>'t3'!O14</f>
        <v>0</v>
      </c>
      <c r="F16" s="349">
        <f>'t3'!Q14</f>
        <v>0</v>
      </c>
      <c r="G16" s="349">
        <f>'t3'!C14</f>
        <v>0</v>
      </c>
      <c r="H16" s="349">
        <f>'t3'!E14</f>
        <v>0</v>
      </c>
      <c r="I16" s="349">
        <f>'t3'!G14</f>
        <v>0</v>
      </c>
      <c r="J16" s="349">
        <f>'t3'!I14</f>
        <v>0</v>
      </c>
      <c r="K16" s="349">
        <f>'t3'!K14</f>
        <v>0</v>
      </c>
      <c r="L16" s="349">
        <f t="shared" si="1"/>
        <v>3</v>
      </c>
      <c r="M16" s="349">
        <f>'t10'!AU14</f>
        <v>3</v>
      </c>
      <c r="N16" s="349" t="str">
        <f t="shared" si="2"/>
        <v>OK</v>
      </c>
      <c r="O16" s="101" t="str">
        <f t="shared" si="3"/>
        <v>OK</v>
      </c>
      <c r="P16" s="348">
        <f>'t1'!M14</f>
        <v>3</v>
      </c>
      <c r="Q16" s="348">
        <f>'t3'!N14</f>
        <v>0</v>
      </c>
      <c r="R16" s="349">
        <f>'t3'!P14</f>
        <v>0</v>
      </c>
      <c r="S16" s="349">
        <f>'t3'!R14</f>
        <v>0</v>
      </c>
      <c r="T16" s="349">
        <f>'t3'!D14</f>
        <v>0</v>
      </c>
      <c r="U16" s="349">
        <f>'t3'!F14</f>
        <v>0</v>
      </c>
      <c r="V16" s="349">
        <f>'t3'!H14</f>
        <v>0</v>
      </c>
      <c r="W16" s="349">
        <f>'t3'!J14</f>
        <v>0</v>
      </c>
      <c r="X16" s="349">
        <f>'t3'!L14</f>
        <v>0</v>
      </c>
      <c r="Y16" s="349">
        <f t="shared" si="0"/>
        <v>3</v>
      </c>
      <c r="Z16" s="349">
        <f>'t10'!AV14</f>
        <v>3</v>
      </c>
      <c r="AA16" s="349" t="str">
        <f t="shared" si="4"/>
        <v>OK</v>
      </c>
      <c r="AB16" s="192" t="str">
        <f t="shared" si="5"/>
        <v>OK</v>
      </c>
    </row>
    <row r="17" spans="1:28" ht="12.75" customHeight="1">
      <c r="A17" s="137" t="str">
        <f>'t1'!A15</f>
        <v>PROFESSORI DI PRIMA FASCIA TEMPO DET.ANNUALE</v>
      </c>
      <c r="B17" s="187" t="str">
        <f>'t1'!B15</f>
        <v>018PD1</v>
      </c>
      <c r="C17" s="348">
        <f>'t1'!L15</f>
        <v>17</v>
      </c>
      <c r="D17" s="348">
        <f>'t3'!M15</f>
        <v>0</v>
      </c>
      <c r="E17" s="349">
        <f>'t3'!O15</f>
        <v>0</v>
      </c>
      <c r="F17" s="349">
        <f>'t3'!Q15</f>
        <v>0</v>
      </c>
      <c r="G17" s="349">
        <f>'t3'!C15</f>
        <v>0</v>
      </c>
      <c r="H17" s="349">
        <f>'t3'!E15</f>
        <v>0</v>
      </c>
      <c r="I17" s="349">
        <f>'t3'!G15</f>
        <v>0</v>
      </c>
      <c r="J17" s="349">
        <f>'t3'!I15</f>
        <v>0</v>
      </c>
      <c r="K17" s="349">
        <f>'t3'!K15</f>
        <v>0</v>
      </c>
      <c r="L17" s="349">
        <f t="shared" si="1"/>
        <v>17</v>
      </c>
      <c r="M17" s="349">
        <f>'t10'!AU15</f>
        <v>17</v>
      </c>
      <c r="N17" s="349" t="str">
        <f t="shared" si="2"/>
        <v>OK</v>
      </c>
      <c r="O17" s="101" t="str">
        <f t="shared" si="3"/>
        <v>OK</v>
      </c>
      <c r="P17" s="348">
        <f>'t1'!M15</f>
        <v>5</v>
      </c>
      <c r="Q17" s="348">
        <f>'t3'!N15</f>
        <v>0</v>
      </c>
      <c r="R17" s="349">
        <f>'t3'!P15</f>
        <v>0</v>
      </c>
      <c r="S17" s="349">
        <f>'t3'!R15</f>
        <v>0</v>
      </c>
      <c r="T17" s="349">
        <f>'t3'!D15</f>
        <v>0</v>
      </c>
      <c r="U17" s="349">
        <f>'t3'!F15</f>
        <v>0</v>
      </c>
      <c r="V17" s="349">
        <f>'t3'!H15</f>
        <v>0</v>
      </c>
      <c r="W17" s="349">
        <f>'t3'!J15</f>
        <v>0</v>
      </c>
      <c r="X17" s="349">
        <f>'t3'!L15</f>
        <v>0</v>
      </c>
      <c r="Y17" s="349">
        <f t="shared" si="0"/>
        <v>5</v>
      </c>
      <c r="Z17" s="349">
        <f>'t10'!AV15</f>
        <v>5</v>
      </c>
      <c r="AA17" s="349" t="str">
        <f t="shared" si="4"/>
        <v>OK</v>
      </c>
      <c r="AB17" s="192" t="str">
        <f t="shared" si="5"/>
        <v>OK</v>
      </c>
    </row>
    <row r="18" spans="1:28" ht="12.75" customHeight="1">
      <c r="A18" s="137" t="str">
        <f>'t1'!A16</f>
        <v>PROFESSORI DI SECONDA FASCIA TEMPO DET.ANNUALE</v>
      </c>
      <c r="B18" s="187" t="str">
        <f>'t1'!B16</f>
        <v>016PD2</v>
      </c>
      <c r="C18" s="348">
        <f>'t1'!L16</f>
        <v>4</v>
      </c>
      <c r="D18" s="348">
        <f>'t3'!M16</f>
        <v>0</v>
      </c>
      <c r="E18" s="349">
        <f>'t3'!O16</f>
        <v>0</v>
      </c>
      <c r="F18" s="349">
        <f>'t3'!Q16</f>
        <v>0</v>
      </c>
      <c r="G18" s="349">
        <f>'t3'!C16</f>
        <v>0</v>
      </c>
      <c r="H18" s="349">
        <f>'t3'!E16</f>
        <v>0</v>
      </c>
      <c r="I18" s="349">
        <f>'t3'!G16</f>
        <v>0</v>
      </c>
      <c r="J18" s="349">
        <f>'t3'!I16</f>
        <v>0</v>
      </c>
      <c r="K18" s="349">
        <f>'t3'!K16</f>
        <v>0</v>
      </c>
      <c r="L18" s="349">
        <f t="shared" si="1"/>
        <v>4</v>
      </c>
      <c r="M18" s="349">
        <f>'t10'!AU16</f>
        <v>4</v>
      </c>
      <c r="N18" s="349" t="str">
        <f t="shared" si="2"/>
        <v>OK</v>
      </c>
      <c r="O18" s="101" t="str">
        <f t="shared" si="3"/>
        <v>OK</v>
      </c>
      <c r="P18" s="348">
        <f>'t1'!M16</f>
        <v>2</v>
      </c>
      <c r="Q18" s="348">
        <f>'t3'!N16</f>
        <v>0</v>
      </c>
      <c r="R18" s="349">
        <f>'t3'!P16</f>
        <v>0</v>
      </c>
      <c r="S18" s="349">
        <f>'t3'!R16</f>
        <v>0</v>
      </c>
      <c r="T18" s="349">
        <f>'t3'!D16</f>
        <v>0</v>
      </c>
      <c r="U18" s="349">
        <f>'t3'!F16</f>
        <v>0</v>
      </c>
      <c r="V18" s="349">
        <f>'t3'!H16</f>
        <v>0</v>
      </c>
      <c r="W18" s="349">
        <f>'t3'!J16</f>
        <v>0</v>
      </c>
      <c r="X18" s="349">
        <f>'t3'!L16</f>
        <v>0</v>
      </c>
      <c r="Y18" s="349">
        <f t="shared" si="0"/>
        <v>2</v>
      </c>
      <c r="Z18" s="349">
        <f>'t10'!AV16</f>
        <v>2</v>
      </c>
      <c r="AA18" s="349" t="str">
        <f t="shared" si="4"/>
        <v>OK</v>
      </c>
      <c r="AB18" s="192" t="str">
        <f t="shared" si="5"/>
        <v>OK</v>
      </c>
    </row>
    <row r="19" spans="1:28" ht="12.75" customHeight="1">
      <c r="A19" s="137" t="str">
        <f>'t1'!A17</f>
        <v>PROFESSORI DI PRIMA FASCIA T. DET. TERMINE ATTIV DIDATT</v>
      </c>
      <c r="B19" s="187" t="str">
        <f>'t1'!B17</f>
        <v>018DD1</v>
      </c>
      <c r="C19" s="348">
        <f>'t1'!L17</f>
        <v>0</v>
      </c>
      <c r="D19" s="348">
        <f>'t3'!M17</f>
        <v>0</v>
      </c>
      <c r="E19" s="349">
        <f>'t3'!O17</f>
        <v>0</v>
      </c>
      <c r="F19" s="349">
        <f>'t3'!Q17</f>
        <v>0</v>
      </c>
      <c r="G19" s="349">
        <f>'t3'!C17</f>
        <v>0</v>
      </c>
      <c r="H19" s="349">
        <f>'t3'!E17</f>
        <v>0</v>
      </c>
      <c r="I19" s="349">
        <f>'t3'!G17</f>
        <v>0</v>
      </c>
      <c r="J19" s="349">
        <f>'t3'!I17</f>
        <v>0</v>
      </c>
      <c r="K19" s="349">
        <f>'t3'!K17</f>
        <v>0</v>
      </c>
      <c r="L19" s="349">
        <f t="shared" si="1"/>
        <v>0</v>
      </c>
      <c r="M19" s="349">
        <f>'t10'!AU17</f>
        <v>0</v>
      </c>
      <c r="N19" s="349" t="str">
        <f t="shared" si="2"/>
        <v>OK</v>
      </c>
      <c r="O19" s="101" t="str">
        <f t="shared" si="3"/>
        <v>OK</v>
      </c>
      <c r="P19" s="348">
        <f>'t1'!M17</f>
        <v>0</v>
      </c>
      <c r="Q19" s="348">
        <f>'t3'!N17</f>
        <v>0</v>
      </c>
      <c r="R19" s="349">
        <f>'t3'!P17</f>
        <v>0</v>
      </c>
      <c r="S19" s="349">
        <f>'t3'!R17</f>
        <v>0</v>
      </c>
      <c r="T19" s="349">
        <f>'t3'!D17</f>
        <v>0</v>
      </c>
      <c r="U19" s="349">
        <f>'t3'!F17</f>
        <v>0</v>
      </c>
      <c r="V19" s="349">
        <f>'t3'!H17</f>
        <v>0</v>
      </c>
      <c r="W19" s="349">
        <f>'t3'!J17</f>
        <v>0</v>
      </c>
      <c r="X19" s="349">
        <f>'t3'!L17</f>
        <v>0</v>
      </c>
      <c r="Y19" s="349">
        <f t="shared" si="0"/>
        <v>0</v>
      </c>
      <c r="Z19" s="349">
        <f>'t10'!AV17</f>
        <v>0</v>
      </c>
      <c r="AA19" s="349" t="str">
        <f t="shared" si="4"/>
        <v>OK</v>
      </c>
      <c r="AB19" s="192" t="str">
        <f t="shared" si="5"/>
        <v>OK</v>
      </c>
    </row>
    <row r="20" spans="1:28" ht="12.75" customHeight="1">
      <c r="A20" s="137" t="str">
        <f>'t1'!A18</f>
        <v>PROFESSORI DI SECONDA FASCIA T. DET. TERMINE ATTIV DIDATT</v>
      </c>
      <c r="B20" s="187" t="str">
        <f>'t1'!B18</f>
        <v>016DD2</v>
      </c>
      <c r="C20" s="348">
        <f>'t1'!L18</f>
        <v>0</v>
      </c>
      <c r="D20" s="348">
        <f>'t3'!M18</f>
        <v>0</v>
      </c>
      <c r="E20" s="349">
        <f>'t3'!O18</f>
        <v>0</v>
      </c>
      <c r="F20" s="349">
        <f>'t3'!Q18</f>
        <v>0</v>
      </c>
      <c r="G20" s="349">
        <f>'t3'!C18</f>
        <v>0</v>
      </c>
      <c r="H20" s="349">
        <f>'t3'!E18</f>
        <v>0</v>
      </c>
      <c r="I20" s="349">
        <f>'t3'!G18</f>
        <v>0</v>
      </c>
      <c r="J20" s="349">
        <f>'t3'!I18</f>
        <v>0</v>
      </c>
      <c r="K20" s="349">
        <f>'t3'!K18</f>
        <v>0</v>
      </c>
      <c r="L20" s="349">
        <f t="shared" si="1"/>
        <v>0</v>
      </c>
      <c r="M20" s="349">
        <f>'t10'!AU18</f>
        <v>0</v>
      </c>
      <c r="N20" s="349" t="str">
        <f t="shared" si="2"/>
        <v>OK</v>
      </c>
      <c r="O20" s="101" t="str">
        <f t="shared" si="3"/>
        <v>OK</v>
      </c>
      <c r="P20" s="348">
        <f>'t1'!M18</f>
        <v>0</v>
      </c>
      <c r="Q20" s="348">
        <f>'t3'!N18</f>
        <v>0</v>
      </c>
      <c r="R20" s="349">
        <f>'t3'!P18</f>
        <v>0</v>
      </c>
      <c r="S20" s="349">
        <f>'t3'!R18</f>
        <v>0</v>
      </c>
      <c r="T20" s="349">
        <f>'t3'!D18</f>
        <v>0</v>
      </c>
      <c r="U20" s="349">
        <f>'t3'!F18</f>
        <v>0</v>
      </c>
      <c r="V20" s="349">
        <f>'t3'!H18</f>
        <v>0</v>
      </c>
      <c r="W20" s="349">
        <f>'t3'!J18</f>
        <v>0</v>
      </c>
      <c r="X20" s="349">
        <f>'t3'!L18</f>
        <v>0</v>
      </c>
      <c r="Y20" s="349">
        <f t="shared" si="0"/>
        <v>0</v>
      </c>
      <c r="Z20" s="349">
        <f>'t10'!AV18</f>
        <v>0</v>
      </c>
      <c r="AA20" s="349" t="str">
        <f t="shared" si="4"/>
        <v>OK</v>
      </c>
      <c r="AB20" s="192" t="str">
        <f t="shared" si="5"/>
        <v>OK</v>
      </c>
    </row>
    <row r="21" spans="1:28" ht="12.75" customHeight="1">
      <c r="A21" s="137" t="str">
        <f>'t1'!A19</f>
        <v>DIRETTORE AMMINISTRATIVO TEMPO DET.ANNUALE (EP2)</v>
      </c>
      <c r="B21" s="187" t="str">
        <f>'t1'!B19</f>
        <v>013EP2</v>
      </c>
      <c r="C21" s="348">
        <f>'t1'!L19</f>
        <v>0</v>
      </c>
      <c r="D21" s="348">
        <f>'t3'!M19</f>
        <v>0</v>
      </c>
      <c r="E21" s="349">
        <f>'t3'!O19</f>
        <v>0</v>
      </c>
      <c r="F21" s="349">
        <f>'t3'!Q19</f>
        <v>0</v>
      </c>
      <c r="G21" s="349">
        <f>'t3'!C19</f>
        <v>0</v>
      </c>
      <c r="H21" s="349">
        <f>'t3'!E19</f>
        <v>0</v>
      </c>
      <c r="I21" s="349">
        <f>'t3'!G19</f>
        <v>0</v>
      </c>
      <c r="J21" s="349">
        <f>'t3'!I19</f>
        <v>0</v>
      </c>
      <c r="K21" s="349">
        <f>'t3'!K19</f>
        <v>0</v>
      </c>
      <c r="L21" s="349">
        <f t="shared" si="1"/>
        <v>0</v>
      </c>
      <c r="M21" s="349">
        <f>'t10'!AU19</f>
        <v>0</v>
      </c>
      <c r="N21" s="349" t="str">
        <f t="shared" si="2"/>
        <v>OK</v>
      </c>
      <c r="O21" s="101" t="str">
        <f t="shared" si="3"/>
        <v>OK</v>
      </c>
      <c r="P21" s="348">
        <f>'t1'!M19</f>
        <v>0</v>
      </c>
      <c r="Q21" s="348">
        <f>'t3'!N19</f>
        <v>0</v>
      </c>
      <c r="R21" s="349">
        <f>'t3'!P19</f>
        <v>0</v>
      </c>
      <c r="S21" s="349">
        <f>'t3'!R19</f>
        <v>0</v>
      </c>
      <c r="T21" s="349">
        <f>'t3'!D19</f>
        <v>0</v>
      </c>
      <c r="U21" s="349">
        <f>'t3'!F19</f>
        <v>0</v>
      </c>
      <c r="V21" s="349">
        <f>'t3'!H19</f>
        <v>0</v>
      </c>
      <c r="W21" s="349">
        <f>'t3'!J19</f>
        <v>0</v>
      </c>
      <c r="X21" s="349">
        <f>'t3'!L19</f>
        <v>0</v>
      </c>
      <c r="Y21" s="349">
        <f t="shared" si="0"/>
        <v>0</v>
      </c>
      <c r="Z21" s="349">
        <f>'t10'!AV19</f>
        <v>0</v>
      </c>
      <c r="AA21" s="349" t="str">
        <f t="shared" si="4"/>
        <v>OK</v>
      </c>
      <c r="AB21" s="192" t="str">
        <f t="shared" si="5"/>
        <v>OK</v>
      </c>
    </row>
    <row r="22" spans="1:28" ht="12.75" customHeight="1">
      <c r="A22" s="137" t="str">
        <f>'t1'!A20</f>
        <v>DIRETTORE DELL UFFICIO DI RAGIONERIA TEMPO DET.ANNUALE (EP1)</v>
      </c>
      <c r="B22" s="187" t="str">
        <f>'t1'!B20</f>
        <v>013160</v>
      </c>
      <c r="C22" s="348">
        <f>'t1'!L20</f>
        <v>0</v>
      </c>
      <c r="D22" s="348">
        <f>'t3'!M20</f>
        <v>0</v>
      </c>
      <c r="E22" s="349">
        <f>'t3'!O20</f>
        <v>0</v>
      </c>
      <c r="F22" s="349">
        <f>'t3'!Q20</f>
        <v>0</v>
      </c>
      <c r="G22" s="349">
        <f>'t3'!C20</f>
        <v>0</v>
      </c>
      <c r="H22" s="349">
        <f>'t3'!E20</f>
        <v>0</v>
      </c>
      <c r="I22" s="349">
        <f>'t3'!G20</f>
        <v>0</v>
      </c>
      <c r="J22" s="349">
        <f>'t3'!I20</f>
        <v>0</v>
      </c>
      <c r="K22" s="349">
        <f>'t3'!K20</f>
        <v>0</v>
      </c>
      <c r="L22" s="349">
        <f t="shared" si="1"/>
        <v>0</v>
      </c>
      <c r="M22" s="349">
        <f>'t10'!AU20</f>
        <v>0</v>
      </c>
      <c r="N22" s="349" t="str">
        <f t="shared" si="2"/>
        <v>OK</v>
      </c>
      <c r="O22" s="101" t="str">
        <f t="shared" si="3"/>
        <v>OK</v>
      </c>
      <c r="P22" s="348">
        <f>'t1'!M20</f>
        <v>0</v>
      </c>
      <c r="Q22" s="348">
        <f>'t3'!N20</f>
        <v>0</v>
      </c>
      <c r="R22" s="349">
        <f>'t3'!P20</f>
        <v>0</v>
      </c>
      <c r="S22" s="349">
        <f>'t3'!R20</f>
        <v>0</v>
      </c>
      <c r="T22" s="349">
        <f>'t3'!D20</f>
        <v>0</v>
      </c>
      <c r="U22" s="349">
        <f>'t3'!F20</f>
        <v>0</v>
      </c>
      <c r="V22" s="349">
        <f>'t3'!H20</f>
        <v>0</v>
      </c>
      <c r="W22" s="349">
        <f>'t3'!J20</f>
        <v>0</v>
      </c>
      <c r="X22" s="349">
        <f>'t3'!L20</f>
        <v>0</v>
      </c>
      <c r="Y22" s="349">
        <f t="shared" si="0"/>
        <v>0</v>
      </c>
      <c r="Z22" s="349">
        <f>'t10'!AV20</f>
        <v>0</v>
      </c>
      <c r="AA22" s="349" t="str">
        <f>IF(P22&lt;(T22+U22+V22+W22+X22),"ERRORE","OK")</f>
        <v>OK</v>
      </c>
      <c r="AB22" s="192" t="str">
        <f t="shared" si="5"/>
        <v>OK</v>
      </c>
    </row>
    <row r="23" spans="1:28" ht="12.75" customHeight="1">
      <c r="A23" s="137" t="str">
        <f>'t1'!A21</f>
        <v>DIRETTORE AMMINISTRATIVO T. DET. TERMINE ATTIV DIDATT(EP2)</v>
      </c>
      <c r="B23" s="187" t="str">
        <f>'t1'!B21</f>
        <v>013E2N</v>
      </c>
      <c r="C23" s="348">
        <f>'t1'!L21</f>
        <v>0</v>
      </c>
      <c r="D23" s="348">
        <f>'t3'!M21</f>
        <v>0</v>
      </c>
      <c r="E23" s="349">
        <f>'t3'!O21</f>
        <v>0</v>
      </c>
      <c r="F23" s="349">
        <f>'t3'!Q21</f>
        <v>0</v>
      </c>
      <c r="G23" s="349">
        <f>'t3'!C21</f>
        <v>0</v>
      </c>
      <c r="H23" s="349">
        <f>'t3'!E21</f>
        <v>0</v>
      </c>
      <c r="I23" s="349">
        <f>'t3'!G21</f>
        <v>0</v>
      </c>
      <c r="J23" s="349">
        <f>'t3'!I21</f>
        <v>0</v>
      </c>
      <c r="K23" s="349">
        <f>'t3'!K21</f>
        <v>0</v>
      </c>
      <c r="L23" s="349">
        <f t="shared" si="1"/>
        <v>0</v>
      </c>
      <c r="M23" s="349">
        <f>'t10'!AU21</f>
        <v>0</v>
      </c>
      <c r="N23" s="349" t="str">
        <f t="shared" si="2"/>
        <v>OK</v>
      </c>
      <c r="O23" s="101" t="str">
        <f t="shared" si="3"/>
        <v>OK</v>
      </c>
      <c r="P23" s="348">
        <f>'t1'!M21</f>
        <v>0</v>
      </c>
      <c r="Q23" s="348">
        <f>'t3'!N21</f>
        <v>0</v>
      </c>
      <c r="R23" s="349">
        <f>'t3'!P21</f>
        <v>0</v>
      </c>
      <c r="S23" s="349">
        <f>'t3'!R21</f>
        <v>0</v>
      </c>
      <c r="T23" s="349">
        <f>'t3'!D21</f>
        <v>0</v>
      </c>
      <c r="U23" s="349">
        <f>'t3'!F21</f>
        <v>0</v>
      </c>
      <c r="V23" s="349">
        <f>'t3'!H21</f>
        <v>0</v>
      </c>
      <c r="W23" s="349">
        <f>'t3'!J21</f>
        <v>0</v>
      </c>
      <c r="X23" s="349">
        <f>'t3'!L21</f>
        <v>0</v>
      </c>
      <c r="Y23" s="349">
        <f t="shared" si="0"/>
        <v>0</v>
      </c>
      <c r="Z23" s="349">
        <f>'t10'!AV21</f>
        <v>0</v>
      </c>
      <c r="AA23" s="349" t="str">
        <f t="shared" si="4"/>
        <v>OK</v>
      </c>
      <c r="AB23" s="192" t="str">
        <f t="shared" si="5"/>
        <v>OK</v>
      </c>
    </row>
    <row r="24" spans="1:28" ht="12.75" customHeight="1">
      <c r="A24" s="137" t="str">
        <f>'t1'!A22</f>
        <v>DIRETTORE UFF. RAGIONERIA T. DET. TERM. ATTIV DIDATT(EP1)</v>
      </c>
      <c r="B24" s="187" t="str">
        <f>'t1'!B22</f>
        <v>013E1N</v>
      </c>
      <c r="C24" s="348">
        <f>'t1'!L22</f>
        <v>0</v>
      </c>
      <c r="D24" s="348">
        <f>'t3'!M22</f>
        <v>0</v>
      </c>
      <c r="E24" s="349">
        <f>'t3'!O22</f>
        <v>0</v>
      </c>
      <c r="F24" s="349">
        <f>'t3'!Q22</f>
        <v>0</v>
      </c>
      <c r="G24" s="349">
        <f>'t3'!C22</f>
        <v>0</v>
      </c>
      <c r="H24" s="349">
        <f>'t3'!E22</f>
        <v>0</v>
      </c>
      <c r="I24" s="349">
        <f>'t3'!G22</f>
        <v>0</v>
      </c>
      <c r="J24" s="349">
        <f>'t3'!I22</f>
        <v>0</v>
      </c>
      <c r="K24" s="349">
        <f>'t3'!K22</f>
        <v>0</v>
      </c>
      <c r="L24" s="349">
        <f t="shared" si="1"/>
        <v>0</v>
      </c>
      <c r="M24" s="349">
        <f>'t10'!AU22</f>
        <v>0</v>
      </c>
      <c r="N24" s="349" t="str">
        <f t="shared" si="2"/>
        <v>OK</v>
      </c>
      <c r="O24" s="101" t="str">
        <f t="shared" si="3"/>
        <v>OK</v>
      </c>
      <c r="P24" s="348">
        <f>'t1'!M22</f>
        <v>0</v>
      </c>
      <c r="Q24" s="348">
        <f>'t3'!N22</f>
        <v>0</v>
      </c>
      <c r="R24" s="349">
        <f>'t3'!P22</f>
        <v>0</v>
      </c>
      <c r="S24" s="349">
        <f>'t3'!R22</f>
        <v>0</v>
      </c>
      <c r="T24" s="349">
        <f>'t3'!D22</f>
        <v>0</v>
      </c>
      <c r="U24" s="349">
        <f>'t3'!F22</f>
        <v>0</v>
      </c>
      <c r="V24" s="349">
        <f>'t3'!H22</f>
        <v>0</v>
      </c>
      <c r="W24" s="349">
        <f>'t3'!J22</f>
        <v>0</v>
      </c>
      <c r="X24" s="349">
        <f>'t3'!L22</f>
        <v>0</v>
      </c>
      <c r="Y24" s="349">
        <f t="shared" si="0"/>
        <v>0</v>
      </c>
      <c r="Z24" s="349">
        <f>'t10'!AV22</f>
        <v>0</v>
      </c>
      <c r="AA24" s="349" t="str">
        <f t="shared" si="4"/>
        <v>OK</v>
      </c>
      <c r="AB24" s="192" t="str">
        <f t="shared" si="5"/>
        <v>OK</v>
      </c>
    </row>
    <row r="25" spans="1:28" ht="12.75" customHeight="1">
      <c r="A25" s="137" t="str">
        <f>'t1'!A23</f>
        <v>COORD. DI BIBLIOT., COORD. TEC. E AMM. TEMPO DET.ANNUALE</v>
      </c>
      <c r="B25" s="187" t="str">
        <f>'t1'!B23</f>
        <v>013DDE</v>
      </c>
      <c r="C25" s="348">
        <f>'t1'!L23</f>
        <v>0</v>
      </c>
      <c r="D25" s="348">
        <f>'t3'!M23</f>
        <v>0</v>
      </c>
      <c r="E25" s="349">
        <f>'t3'!O23</f>
        <v>0</v>
      </c>
      <c r="F25" s="349">
        <f>'t3'!Q23</f>
        <v>0</v>
      </c>
      <c r="G25" s="349">
        <f>'t3'!C23</f>
        <v>0</v>
      </c>
      <c r="H25" s="349">
        <f>'t3'!E23</f>
        <v>0</v>
      </c>
      <c r="I25" s="349">
        <f>'t3'!G23</f>
        <v>0</v>
      </c>
      <c r="J25" s="349">
        <f>'t3'!I23</f>
        <v>0</v>
      </c>
      <c r="K25" s="349">
        <f>'t3'!K23</f>
        <v>0</v>
      </c>
      <c r="L25" s="349">
        <f t="shared" si="1"/>
        <v>0</v>
      </c>
      <c r="M25" s="349">
        <f>'t10'!AU23</f>
        <v>0</v>
      </c>
      <c r="N25" s="349" t="str">
        <f t="shared" si="2"/>
        <v>OK</v>
      </c>
      <c r="O25" s="101" t="str">
        <f t="shared" si="3"/>
        <v>OK</v>
      </c>
      <c r="P25" s="348">
        <f>'t1'!M23</f>
        <v>0</v>
      </c>
      <c r="Q25" s="348">
        <f>'t3'!N23</f>
        <v>0</v>
      </c>
      <c r="R25" s="349">
        <f>'t3'!P23</f>
        <v>0</v>
      </c>
      <c r="S25" s="349">
        <f>'t3'!R23</f>
        <v>0</v>
      </c>
      <c r="T25" s="349">
        <f>'t3'!D23</f>
        <v>0</v>
      </c>
      <c r="U25" s="349">
        <f>'t3'!F23</f>
        <v>0</v>
      </c>
      <c r="V25" s="349">
        <f>'t3'!H23</f>
        <v>0</v>
      </c>
      <c r="W25" s="349">
        <f>'t3'!J23</f>
        <v>0</v>
      </c>
      <c r="X25" s="349">
        <f>'t3'!L23</f>
        <v>0</v>
      </c>
      <c r="Y25" s="349">
        <f t="shared" si="0"/>
        <v>0</v>
      </c>
      <c r="Z25" s="349">
        <f>'t10'!AV23</f>
        <v>0</v>
      </c>
      <c r="AA25" s="349" t="str">
        <f t="shared" si="4"/>
        <v>OK</v>
      </c>
      <c r="AB25" s="192" t="str">
        <f t="shared" si="5"/>
        <v>OK</v>
      </c>
    </row>
    <row r="26" spans="1:28" ht="12.75" customHeight="1">
      <c r="A26" s="137" t="str">
        <f>'t1'!A24</f>
        <v>COLLAB. TEC. AMMIN. DI BIBLIOT. E DI LAB. TEMPO DET.ANNUALE</v>
      </c>
      <c r="B26" s="187" t="str">
        <f>'t1'!B24</f>
        <v>013CDE</v>
      </c>
      <c r="C26" s="348">
        <f>'t1'!L24</f>
        <v>0</v>
      </c>
      <c r="D26" s="348">
        <f>'t3'!M24</f>
        <v>0</v>
      </c>
      <c r="E26" s="349">
        <f>'t3'!O24</f>
        <v>0</v>
      </c>
      <c r="F26" s="349">
        <f>'t3'!Q24</f>
        <v>0</v>
      </c>
      <c r="G26" s="349">
        <f>'t3'!C24</f>
        <v>0</v>
      </c>
      <c r="H26" s="349">
        <f>'t3'!E24</f>
        <v>0</v>
      </c>
      <c r="I26" s="349">
        <f>'t3'!G24</f>
        <v>0</v>
      </c>
      <c r="J26" s="349">
        <f>'t3'!I24</f>
        <v>0</v>
      </c>
      <c r="K26" s="349">
        <f>'t3'!K24</f>
        <v>0</v>
      </c>
      <c r="L26" s="349">
        <f t="shared" si="1"/>
        <v>0</v>
      </c>
      <c r="M26" s="349">
        <f>'t10'!AU24</f>
        <v>0</v>
      </c>
      <c r="N26" s="349" t="str">
        <f t="shared" si="2"/>
        <v>OK</v>
      </c>
      <c r="O26" s="101" t="str">
        <f t="shared" si="3"/>
        <v>OK</v>
      </c>
      <c r="P26" s="348">
        <f>'t1'!M24</f>
        <v>0</v>
      </c>
      <c r="Q26" s="348">
        <f>'t3'!N24</f>
        <v>0</v>
      </c>
      <c r="R26" s="349">
        <f>'t3'!P24</f>
        <v>0</v>
      </c>
      <c r="S26" s="349">
        <f>'t3'!R24</f>
        <v>0</v>
      </c>
      <c r="T26" s="349">
        <f>'t3'!D24</f>
        <v>0</v>
      </c>
      <c r="U26" s="349">
        <f>'t3'!F24</f>
        <v>0</v>
      </c>
      <c r="V26" s="349">
        <f>'t3'!H24</f>
        <v>0</v>
      </c>
      <c r="W26" s="349">
        <f>'t3'!J24</f>
        <v>0</v>
      </c>
      <c r="X26" s="349">
        <f>'t3'!L24</f>
        <v>0</v>
      </c>
      <c r="Y26" s="349">
        <f t="shared" si="0"/>
        <v>0</v>
      </c>
      <c r="Z26" s="349">
        <f>'t10'!AV24</f>
        <v>0</v>
      </c>
      <c r="AA26" s="349" t="str">
        <f t="shared" si="4"/>
        <v>OK</v>
      </c>
      <c r="AB26" s="192" t="str">
        <f t="shared" si="5"/>
        <v>OK</v>
      </c>
    </row>
    <row r="27" spans="1:28" ht="12.75" customHeight="1">
      <c r="A27" s="137" t="str">
        <f>'t1'!A25</f>
        <v>ASSIST. AMMINISTRATIVO TEMPO DET.ANNUALE</v>
      </c>
      <c r="B27" s="187" t="str">
        <f>'t1'!B25</f>
        <v>012118</v>
      </c>
      <c r="C27" s="348">
        <f>'t1'!L25</f>
        <v>1</v>
      </c>
      <c r="D27" s="348">
        <f>'t3'!M25</f>
        <v>0</v>
      </c>
      <c r="E27" s="349">
        <f>'t3'!O25</f>
        <v>0</v>
      </c>
      <c r="F27" s="349">
        <f>'t3'!Q25</f>
        <v>0</v>
      </c>
      <c r="G27" s="349">
        <f>'t3'!C25</f>
        <v>0</v>
      </c>
      <c r="H27" s="349">
        <f>'t3'!E25</f>
        <v>0</v>
      </c>
      <c r="I27" s="349">
        <f>'t3'!G25</f>
        <v>0</v>
      </c>
      <c r="J27" s="349">
        <f>'t3'!I25</f>
        <v>0</v>
      </c>
      <c r="K27" s="349">
        <f>'t3'!K25</f>
        <v>0</v>
      </c>
      <c r="L27" s="349">
        <f t="shared" si="1"/>
        <v>1</v>
      </c>
      <c r="M27" s="349">
        <f>'t10'!AU25</f>
        <v>1</v>
      </c>
      <c r="N27" s="349" t="str">
        <f t="shared" si="2"/>
        <v>OK</v>
      </c>
      <c r="O27" s="101" t="str">
        <f t="shared" si="3"/>
        <v>OK</v>
      </c>
      <c r="P27" s="348">
        <f>'t1'!M25</f>
        <v>0</v>
      </c>
      <c r="Q27" s="348">
        <f>'t3'!N25</f>
        <v>0</v>
      </c>
      <c r="R27" s="349">
        <f>'t3'!P25</f>
        <v>0</v>
      </c>
      <c r="S27" s="349">
        <f>'t3'!R25</f>
        <v>0</v>
      </c>
      <c r="T27" s="349">
        <f>'t3'!D25</f>
        <v>0</v>
      </c>
      <c r="U27" s="349">
        <f>'t3'!F25</f>
        <v>0</v>
      </c>
      <c r="V27" s="349">
        <f>'t3'!H25</f>
        <v>0</v>
      </c>
      <c r="W27" s="349">
        <f>'t3'!J25</f>
        <v>0</v>
      </c>
      <c r="X27" s="349">
        <f>'t3'!L25</f>
        <v>0</v>
      </c>
      <c r="Y27" s="349">
        <f t="shared" si="0"/>
        <v>0</v>
      </c>
      <c r="Z27" s="349">
        <f>'t10'!AV25</f>
        <v>0</v>
      </c>
      <c r="AA27" s="349" t="str">
        <f t="shared" si="4"/>
        <v>OK</v>
      </c>
      <c r="AB27" s="192" t="str">
        <f t="shared" si="5"/>
        <v>OK</v>
      </c>
    </row>
    <row r="28" spans="1:28" ht="12.75" customHeight="1">
      <c r="A28" s="137" t="str">
        <f>'t1'!A26</f>
        <v>COADIUTORE TEMPO DET.ANNUALE</v>
      </c>
      <c r="B28" s="187" t="str">
        <f>'t1'!B26</f>
        <v>011124</v>
      </c>
      <c r="C28" s="348">
        <f>'t1'!L26</f>
        <v>2</v>
      </c>
      <c r="D28" s="348">
        <f>'t3'!M26</f>
        <v>0</v>
      </c>
      <c r="E28" s="349">
        <f>'t3'!O26</f>
        <v>0</v>
      </c>
      <c r="F28" s="349">
        <f>'t3'!Q26</f>
        <v>0</v>
      </c>
      <c r="G28" s="349">
        <f>'t3'!C26</f>
        <v>0</v>
      </c>
      <c r="H28" s="349">
        <f>'t3'!E26</f>
        <v>0</v>
      </c>
      <c r="I28" s="349">
        <f>'t3'!G26</f>
        <v>0</v>
      </c>
      <c r="J28" s="349">
        <f>'t3'!I26</f>
        <v>0</v>
      </c>
      <c r="K28" s="349">
        <f>'t3'!K26</f>
        <v>0</v>
      </c>
      <c r="L28" s="349">
        <f t="shared" si="1"/>
        <v>2</v>
      </c>
      <c r="M28" s="349">
        <f>'t10'!AU26</f>
        <v>2</v>
      </c>
      <c r="N28" s="349" t="str">
        <f t="shared" si="2"/>
        <v>OK</v>
      </c>
      <c r="O28" s="101" t="str">
        <f t="shared" si="3"/>
        <v>OK</v>
      </c>
      <c r="P28" s="348">
        <f>'t1'!M26</f>
        <v>2</v>
      </c>
      <c r="Q28" s="348">
        <f>'t3'!N26</f>
        <v>0</v>
      </c>
      <c r="R28" s="349">
        <f>'t3'!P26</f>
        <v>0</v>
      </c>
      <c r="S28" s="349">
        <f>'t3'!R26</f>
        <v>0</v>
      </c>
      <c r="T28" s="349">
        <f>'t3'!D26</f>
        <v>0</v>
      </c>
      <c r="U28" s="349">
        <f>'t3'!F26</f>
        <v>0</v>
      </c>
      <c r="V28" s="349">
        <f>'t3'!H26</f>
        <v>0</v>
      </c>
      <c r="W28" s="349">
        <f>'t3'!J26</f>
        <v>0</v>
      </c>
      <c r="X28" s="349">
        <f>'t3'!L26</f>
        <v>0</v>
      </c>
      <c r="Y28" s="349">
        <f t="shared" si="0"/>
        <v>2</v>
      </c>
      <c r="Z28" s="349">
        <f>'t10'!AV26</f>
        <v>2</v>
      </c>
      <c r="AA28" s="349" t="str">
        <f t="shared" si="4"/>
        <v>OK</v>
      </c>
      <c r="AB28" s="192" t="str">
        <f t="shared" si="5"/>
        <v>OK</v>
      </c>
    </row>
    <row r="29" spans="1:28" ht="12.75" customHeight="1">
      <c r="A29" s="137" t="str">
        <f>'t1'!A27</f>
        <v>COORD. BIBL., COORD. TEC. E AMM. T. DET. TERM. ATTIV DIDATT</v>
      </c>
      <c r="B29" s="187" t="str">
        <f>'t1'!B27</f>
        <v>013DDN</v>
      </c>
      <c r="C29" s="348">
        <f>'t1'!L27</f>
        <v>0</v>
      </c>
      <c r="D29" s="348">
        <f>'t3'!M27</f>
        <v>0</v>
      </c>
      <c r="E29" s="349">
        <f>'t3'!O27</f>
        <v>0</v>
      </c>
      <c r="F29" s="349">
        <f>'t3'!Q27</f>
        <v>0</v>
      </c>
      <c r="G29" s="349">
        <f>'t3'!C27</f>
        <v>0</v>
      </c>
      <c r="H29" s="349">
        <f>'t3'!E27</f>
        <v>0</v>
      </c>
      <c r="I29" s="349">
        <f>'t3'!G27</f>
        <v>0</v>
      </c>
      <c r="J29" s="349">
        <f>'t3'!I27</f>
        <v>0</v>
      </c>
      <c r="K29" s="349">
        <f>'t3'!K27</f>
        <v>0</v>
      </c>
      <c r="L29" s="349">
        <f t="shared" si="1"/>
        <v>0</v>
      </c>
      <c r="M29" s="349">
        <f>'t10'!AU27</f>
        <v>0</v>
      </c>
      <c r="N29" s="349" t="str">
        <f t="shared" si="2"/>
        <v>OK</v>
      </c>
      <c r="O29" s="101" t="str">
        <f t="shared" si="3"/>
        <v>OK</v>
      </c>
      <c r="P29" s="348">
        <f>'t1'!M27</f>
        <v>0</v>
      </c>
      <c r="Q29" s="348">
        <f>'t3'!N27</f>
        <v>0</v>
      </c>
      <c r="R29" s="349">
        <f>'t3'!P27</f>
        <v>0</v>
      </c>
      <c r="S29" s="349">
        <f>'t3'!R27</f>
        <v>0</v>
      </c>
      <c r="T29" s="349">
        <f>'t3'!D27</f>
        <v>0</v>
      </c>
      <c r="U29" s="349">
        <f>'t3'!F27</f>
        <v>0</v>
      </c>
      <c r="V29" s="349">
        <f>'t3'!H27</f>
        <v>0</v>
      </c>
      <c r="W29" s="349">
        <f>'t3'!J27</f>
        <v>0</v>
      </c>
      <c r="X29" s="349">
        <f>'t3'!L27</f>
        <v>0</v>
      </c>
      <c r="Y29" s="349">
        <f t="shared" si="0"/>
        <v>0</v>
      </c>
      <c r="Z29" s="349">
        <f>'t10'!AV27</f>
        <v>0</v>
      </c>
      <c r="AA29" s="349" t="str">
        <f t="shared" si="4"/>
        <v>OK</v>
      </c>
      <c r="AB29" s="192" t="str">
        <f t="shared" si="5"/>
        <v>OK</v>
      </c>
    </row>
    <row r="30" spans="1:28" ht="12.75" customHeight="1">
      <c r="A30" s="137" t="str">
        <f>'t1'!A28</f>
        <v>COLLAB. TEC. AMM. BIBL. E DI LAB. T. D. TERM. ATTIV DIDATT</v>
      </c>
      <c r="B30" s="187" t="str">
        <f>'t1'!B28</f>
        <v>013CDN</v>
      </c>
      <c r="C30" s="348">
        <f>'t1'!L28</f>
        <v>0</v>
      </c>
      <c r="D30" s="348">
        <f>'t3'!M28</f>
        <v>0</v>
      </c>
      <c r="E30" s="349">
        <f>'t3'!O28</f>
        <v>0</v>
      </c>
      <c r="F30" s="349">
        <f>'t3'!Q28</f>
        <v>0</v>
      </c>
      <c r="G30" s="349">
        <f>'t3'!C28</f>
        <v>0</v>
      </c>
      <c r="H30" s="349">
        <f>'t3'!E28</f>
        <v>0</v>
      </c>
      <c r="I30" s="349">
        <f>'t3'!G28</f>
        <v>0</v>
      </c>
      <c r="J30" s="349">
        <f>'t3'!I28</f>
        <v>0</v>
      </c>
      <c r="K30" s="349">
        <f>'t3'!K28</f>
        <v>0</v>
      </c>
      <c r="L30" s="349">
        <f t="shared" si="1"/>
        <v>0</v>
      </c>
      <c r="M30" s="349">
        <f>'t10'!AU28</f>
        <v>0</v>
      </c>
      <c r="N30" s="349" t="str">
        <f t="shared" si="2"/>
        <v>OK</v>
      </c>
      <c r="O30" s="101" t="str">
        <f t="shared" si="3"/>
        <v>OK</v>
      </c>
      <c r="P30" s="348">
        <f>'t1'!M28</f>
        <v>0</v>
      </c>
      <c r="Q30" s="348">
        <f>'t3'!N28</f>
        <v>0</v>
      </c>
      <c r="R30" s="349">
        <f>'t3'!P28</f>
        <v>0</v>
      </c>
      <c r="S30" s="349">
        <f>'t3'!R28</f>
        <v>0</v>
      </c>
      <c r="T30" s="349">
        <f>'t3'!D28</f>
        <v>0</v>
      </c>
      <c r="U30" s="349">
        <f>'t3'!F28</f>
        <v>0</v>
      </c>
      <c r="V30" s="349">
        <f>'t3'!H28</f>
        <v>0</v>
      </c>
      <c r="W30" s="349">
        <f>'t3'!J28</f>
        <v>0</v>
      </c>
      <c r="X30" s="349">
        <f>'t3'!L28</f>
        <v>0</v>
      </c>
      <c r="Y30" s="349">
        <f t="shared" si="0"/>
        <v>0</v>
      </c>
      <c r="Z30" s="349">
        <f>'t10'!AV28</f>
        <v>0</v>
      </c>
      <c r="AA30" s="349" t="str">
        <f t="shared" si="4"/>
        <v>OK</v>
      </c>
      <c r="AB30" s="192" t="str">
        <f t="shared" si="5"/>
        <v>OK</v>
      </c>
    </row>
    <row r="31" spans="1:28" ht="12.75" customHeight="1">
      <c r="A31" s="137" t="str">
        <f>'t1'!A29</f>
        <v>ASSISTENTE AMMINISTRATIVO TEM.DET. TERMINE ATTIV DIDATT</v>
      </c>
      <c r="B31" s="187" t="str">
        <f>'t1'!B29</f>
        <v>016509</v>
      </c>
      <c r="C31" s="348">
        <f>'t1'!L29</f>
        <v>0</v>
      </c>
      <c r="D31" s="348">
        <f>'t3'!M29</f>
        <v>0</v>
      </c>
      <c r="E31" s="349">
        <f>'t3'!O29</f>
        <v>0</v>
      </c>
      <c r="F31" s="349">
        <f>'t3'!Q29</f>
        <v>0</v>
      </c>
      <c r="G31" s="349">
        <f>'t3'!C29</f>
        <v>0</v>
      </c>
      <c r="H31" s="349">
        <f>'t3'!E29</f>
        <v>0</v>
      </c>
      <c r="I31" s="349">
        <f>'t3'!G29</f>
        <v>0</v>
      </c>
      <c r="J31" s="349">
        <f>'t3'!I29</f>
        <v>0</v>
      </c>
      <c r="K31" s="349">
        <f>'t3'!K29</f>
        <v>0</v>
      </c>
      <c r="L31" s="349">
        <f t="shared" si="1"/>
        <v>0</v>
      </c>
      <c r="M31" s="349">
        <f>'t10'!AU29</f>
        <v>0</v>
      </c>
      <c r="N31" s="349" t="str">
        <f t="shared" si="2"/>
        <v>OK</v>
      </c>
      <c r="O31" s="101" t="str">
        <f t="shared" si="3"/>
        <v>OK</v>
      </c>
      <c r="P31" s="348">
        <f>'t1'!M29</f>
        <v>0</v>
      </c>
      <c r="Q31" s="348">
        <f>'t3'!N29</f>
        <v>0</v>
      </c>
      <c r="R31" s="349">
        <f>'t3'!P29</f>
        <v>0</v>
      </c>
      <c r="S31" s="349">
        <f>'t3'!R29</f>
        <v>0</v>
      </c>
      <c r="T31" s="349">
        <f>'t3'!D29</f>
        <v>0</v>
      </c>
      <c r="U31" s="349">
        <f>'t3'!F29</f>
        <v>0</v>
      </c>
      <c r="V31" s="349">
        <f>'t3'!H29</f>
        <v>0</v>
      </c>
      <c r="W31" s="349">
        <f>'t3'!J29</f>
        <v>0</v>
      </c>
      <c r="X31" s="349">
        <f>'t3'!L29</f>
        <v>0</v>
      </c>
      <c r="Y31" s="349">
        <f t="shared" si="0"/>
        <v>0</v>
      </c>
      <c r="Z31" s="349">
        <f>'t10'!AV29</f>
        <v>0</v>
      </c>
      <c r="AA31" s="349" t="str">
        <f t="shared" si="4"/>
        <v>OK</v>
      </c>
      <c r="AB31" s="192" t="str">
        <f t="shared" si="5"/>
        <v>OK</v>
      </c>
    </row>
    <row r="32" spans="1:28" ht="12.75" customHeight="1">
      <c r="A32" s="137" t="str">
        <f>'t1'!A30</f>
        <v>COADIUTORE TEMPO DET. TERMINE ATTIV DIDATT</v>
      </c>
      <c r="B32" s="187" t="str">
        <f>'t1'!B30</f>
        <v>011CNA</v>
      </c>
      <c r="C32" s="348">
        <f>'t1'!L30</f>
        <v>0</v>
      </c>
      <c r="D32" s="348">
        <f>'t3'!M30</f>
        <v>0</v>
      </c>
      <c r="E32" s="349">
        <f>'t3'!O30</f>
        <v>0</v>
      </c>
      <c r="F32" s="349">
        <f>'t3'!Q30</f>
        <v>0</v>
      </c>
      <c r="G32" s="349">
        <f>'t3'!C30</f>
        <v>0</v>
      </c>
      <c r="H32" s="349">
        <f>'t3'!E30</f>
        <v>0</v>
      </c>
      <c r="I32" s="349">
        <f>'t3'!G30</f>
        <v>0</v>
      </c>
      <c r="J32" s="349">
        <f>'t3'!I30</f>
        <v>0</v>
      </c>
      <c r="K32" s="349">
        <f>'t3'!K30</f>
        <v>0</v>
      </c>
      <c r="L32" s="349">
        <f t="shared" si="1"/>
        <v>0</v>
      </c>
      <c r="M32" s="349">
        <f>'t10'!AU30</f>
        <v>0</v>
      </c>
      <c r="N32" s="349" t="str">
        <f t="shared" si="2"/>
        <v>OK</v>
      </c>
      <c r="O32" s="101" t="str">
        <f t="shared" si="3"/>
        <v>OK</v>
      </c>
      <c r="P32" s="348">
        <f>'t1'!M30</f>
        <v>0</v>
      </c>
      <c r="Q32" s="348">
        <f>'t3'!N30</f>
        <v>0</v>
      </c>
      <c r="R32" s="349">
        <f>'t3'!P30</f>
        <v>0</v>
      </c>
      <c r="S32" s="349">
        <f>'t3'!R30</f>
        <v>0</v>
      </c>
      <c r="T32" s="349">
        <f>'t3'!D30</f>
        <v>0</v>
      </c>
      <c r="U32" s="349">
        <f>'t3'!F30</f>
        <v>0</v>
      </c>
      <c r="V32" s="349">
        <f>'t3'!H30</f>
        <v>0</v>
      </c>
      <c r="W32" s="349">
        <f>'t3'!J30</f>
        <v>0</v>
      </c>
      <c r="X32" s="349">
        <f>'t3'!L30</f>
        <v>0</v>
      </c>
      <c r="Y32" s="349">
        <f t="shared" si="0"/>
        <v>0</v>
      </c>
      <c r="Z32" s="349">
        <f>'t10'!AV30</f>
        <v>0</v>
      </c>
      <c r="AA32" s="349" t="str">
        <f t="shared" si="4"/>
        <v>OK</v>
      </c>
      <c r="AB32" s="192" t="str">
        <f t="shared" si="5"/>
        <v>OK</v>
      </c>
    </row>
    <row r="33" spans="1:28" ht="15.75" customHeight="1">
      <c r="A33" s="137" t="str">
        <f>'t1'!A31</f>
        <v>TOTALE</v>
      </c>
      <c r="B33" s="177"/>
      <c r="C33" s="348">
        <f aca="true" t="shared" si="6" ref="C33:M33">SUM(C8:C32)</f>
        <v>35</v>
      </c>
      <c r="D33" s="348">
        <f t="shared" si="6"/>
        <v>0</v>
      </c>
      <c r="E33" s="348">
        <f t="shared" si="6"/>
        <v>0</v>
      </c>
      <c r="F33" s="348">
        <f t="shared" si="6"/>
        <v>0</v>
      </c>
      <c r="G33" s="348">
        <f t="shared" si="6"/>
        <v>0</v>
      </c>
      <c r="H33" s="348">
        <f t="shared" si="6"/>
        <v>0</v>
      </c>
      <c r="I33" s="348">
        <f t="shared" si="6"/>
        <v>0</v>
      </c>
      <c r="J33" s="348">
        <f t="shared" si="6"/>
        <v>0</v>
      </c>
      <c r="K33" s="348">
        <f t="shared" si="6"/>
        <v>0</v>
      </c>
      <c r="L33" s="348">
        <f t="shared" si="6"/>
        <v>35</v>
      </c>
      <c r="M33" s="348">
        <f t="shared" si="6"/>
        <v>35</v>
      </c>
      <c r="N33" s="349" t="str">
        <f t="shared" si="2"/>
        <v>OK</v>
      </c>
      <c r="O33" s="101" t="str">
        <f t="shared" si="3"/>
        <v>OK</v>
      </c>
      <c r="P33" s="348">
        <f aca="true" t="shared" si="7" ref="P33:Z33">SUM(P8:P32)</f>
        <v>26</v>
      </c>
      <c r="Q33" s="348">
        <f t="shared" si="7"/>
        <v>0</v>
      </c>
      <c r="R33" s="348">
        <f t="shared" si="7"/>
        <v>0</v>
      </c>
      <c r="S33" s="348">
        <f t="shared" si="7"/>
        <v>0</v>
      </c>
      <c r="T33" s="348">
        <f t="shared" si="7"/>
        <v>0</v>
      </c>
      <c r="U33" s="348">
        <f t="shared" si="7"/>
        <v>0</v>
      </c>
      <c r="V33" s="348">
        <f t="shared" si="7"/>
        <v>0</v>
      </c>
      <c r="W33" s="348">
        <f t="shared" si="7"/>
        <v>0</v>
      </c>
      <c r="X33" s="348">
        <f t="shared" si="7"/>
        <v>0</v>
      </c>
      <c r="Y33" s="348">
        <f t="shared" si="7"/>
        <v>26</v>
      </c>
      <c r="Z33" s="348">
        <f t="shared" si="7"/>
        <v>26</v>
      </c>
      <c r="AA33" s="349" t="str">
        <f t="shared" si="4"/>
        <v>OK</v>
      </c>
      <c r="AB33" s="192" t="str">
        <f t="shared" si="5"/>
        <v>OK</v>
      </c>
    </row>
  </sheetData>
  <sheetProtection password="EA98" sheet="1" formatColumns="0" selectLockedCells="1" selectUnlockedCells="1"/>
  <mergeCells count="4">
    <mergeCell ref="P5:AB5"/>
    <mergeCell ref="C5:O5"/>
    <mergeCell ref="A1:Y1"/>
    <mergeCell ref="A2:M2"/>
  </mergeCells>
  <printOptions horizontalCentered="1" verticalCentered="1"/>
  <pageMargins left="0.1968503937007874" right="0" top="0.15748031496062992" bottom="0.15748031496062992" header="0.1968503937007874" footer="0.1968503937007874"/>
  <pageSetup horizontalDpi="600" verticalDpi="600" orientation="landscape" paperSize="9" scale="80" r:id="rId2"/>
  <colBreaks count="1" manualBreakCount="1">
    <brk id="15" max="65535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5"/>
  <dimension ref="A1:M31"/>
  <sheetViews>
    <sheetView showGridLines="0" zoomScalePageLayoutView="0" workbookViewId="0" topLeftCell="C1">
      <pane ySplit="5" topLeftCell="A6" activePane="bottomLeft" state="frozen"/>
      <selection pane="topLeft" activeCell="E11" sqref="E11"/>
      <selection pane="bottomLeft" activeCell="E11" sqref="E11"/>
    </sheetView>
  </sheetViews>
  <sheetFormatPr defaultColWidth="9.33203125" defaultRowHeight="10.5"/>
  <cols>
    <col min="1" max="1" width="57.83203125" style="5" customWidth="1"/>
    <col min="2" max="2" width="11.66015625" style="7" customWidth="1"/>
    <col min="3" max="3" width="17" style="7" bestFit="1" customWidth="1"/>
    <col min="4" max="8" width="15.83203125" style="7" customWidth="1"/>
    <col min="9" max="9" width="14.83203125" style="7" customWidth="1"/>
    <col min="10" max="16384" width="9.33203125" style="5" customWidth="1"/>
  </cols>
  <sheetData>
    <row r="1" spans="1:13" ht="43.5" customHeight="1">
      <c r="A1" s="1155" t="str">
        <f>'t1'!A1</f>
        <v>COMPARTO AFAM - anno 2016</v>
      </c>
      <c r="B1" s="1155"/>
      <c r="C1" s="1155"/>
      <c r="D1" s="1155"/>
      <c r="E1" s="1155"/>
      <c r="F1" s="1155"/>
      <c r="G1" s="1155"/>
      <c r="H1" s="323"/>
      <c r="I1" s="320"/>
      <c r="K1" s="3"/>
      <c r="M1"/>
    </row>
    <row r="2" spans="2:13" ht="12.75" customHeight="1">
      <c r="B2" s="5"/>
      <c r="C2" s="5"/>
      <c r="D2" s="1237"/>
      <c r="E2" s="1237"/>
      <c r="F2" s="1237"/>
      <c r="G2" s="1237"/>
      <c r="H2" s="1237"/>
      <c r="I2" s="1237"/>
      <c r="J2" s="324"/>
      <c r="K2" s="3"/>
      <c r="M2"/>
    </row>
    <row r="3" spans="1:9" ht="21" customHeight="1">
      <c r="A3" s="197" t="s">
        <v>270</v>
      </c>
      <c r="C3" s="5"/>
      <c r="D3" s="5"/>
      <c r="E3" s="5"/>
      <c r="F3" s="5"/>
      <c r="G3" s="5"/>
      <c r="H3" s="5"/>
      <c r="I3" s="5"/>
    </row>
    <row r="4" spans="1:9" ht="49.5" customHeight="1">
      <c r="A4" s="185" t="s">
        <v>207</v>
      </c>
      <c r="B4" s="185" t="s">
        <v>206</v>
      </c>
      <c r="C4" s="185" t="str">
        <f>"Presenti 31.12 anno precedente (Tab 1)"</f>
        <v>Presenti 31.12 anno precedente (Tab 1)</v>
      </c>
      <c r="D4" s="185" t="s">
        <v>228</v>
      </c>
      <c r="E4" s="185" t="s">
        <v>229</v>
      </c>
      <c r="F4" s="185" t="s">
        <v>230</v>
      </c>
      <c r="G4" s="185" t="s">
        <v>241</v>
      </c>
      <c r="H4" s="185" t="s">
        <v>231</v>
      </c>
      <c r="I4" s="185" t="s">
        <v>198</v>
      </c>
    </row>
    <row r="5" spans="1:9" ht="11.25">
      <c r="A5" s="185"/>
      <c r="B5" s="185"/>
      <c r="C5" s="195" t="s">
        <v>208</v>
      </c>
      <c r="D5" s="195" t="s">
        <v>209</v>
      </c>
      <c r="E5" s="195" t="s">
        <v>210</v>
      </c>
      <c r="F5" s="195" t="s">
        <v>211</v>
      </c>
      <c r="G5" s="195" t="s">
        <v>240</v>
      </c>
      <c r="H5" s="195" t="s">
        <v>232</v>
      </c>
      <c r="I5" s="195" t="s">
        <v>233</v>
      </c>
    </row>
    <row r="6" spans="1:9" ht="12.75" customHeight="1">
      <c r="A6" s="137" t="str">
        <f>'t1'!A6</f>
        <v>DIRIGENTE SCOLASTICO</v>
      </c>
      <c r="B6" s="187" t="str">
        <f>'t1'!B6</f>
        <v>0D0158</v>
      </c>
      <c r="C6" s="348">
        <f>'t1'!C6+'t1'!D6</f>
        <v>0</v>
      </c>
      <c r="D6" s="348">
        <f>'t5'!S7+'t5'!T7</f>
        <v>0</v>
      </c>
      <c r="E6" s="349">
        <f>'t6'!U7+'t6'!V7</f>
        <v>0</v>
      </c>
      <c r="F6" s="349">
        <f>'t4'!C31</f>
        <v>0</v>
      </c>
      <c r="G6" s="349">
        <f>C6-D6+E6+F6</f>
        <v>0</v>
      </c>
      <c r="H6" s="349">
        <f>'t4'!AB6</f>
        <v>0</v>
      </c>
      <c r="I6" s="178" t="str">
        <f>IF(H6&lt;=G6,"OK","ERRORE")</f>
        <v>OK</v>
      </c>
    </row>
    <row r="7" spans="1:9" ht="12.75" customHeight="1">
      <c r="A7" s="137" t="str">
        <f>'t1'!A7</f>
        <v>PROFESSORI DI PRIMA FASCIA</v>
      </c>
      <c r="B7" s="187" t="str">
        <f>'t1'!B7</f>
        <v>018P01</v>
      </c>
      <c r="C7" s="348">
        <f>'t1'!C7+'t1'!D7</f>
        <v>11</v>
      </c>
      <c r="D7" s="348">
        <f>'t5'!S8+'t5'!T8</f>
        <v>1</v>
      </c>
      <c r="E7" s="349">
        <f>'t6'!U8+'t6'!V8</f>
        <v>0</v>
      </c>
      <c r="F7" s="349">
        <f>'t4'!D31</f>
        <v>0</v>
      </c>
      <c r="G7" s="349">
        <f aca="true" t="shared" si="0" ref="G7:G30">C7-D7+E7+F7</f>
        <v>10</v>
      </c>
      <c r="H7" s="349">
        <f>'t4'!AB7</f>
        <v>0</v>
      </c>
      <c r="I7" s="178" t="str">
        <f aca="true" t="shared" si="1" ref="I7:I30">IF(H7&lt;=G7,"OK","ERRORE")</f>
        <v>OK</v>
      </c>
    </row>
    <row r="8" spans="1:9" ht="12.75" customHeight="1">
      <c r="A8" s="137" t="str">
        <f>'t1'!A8</f>
        <v>PROFESSORI DI SECONDA FASCIA</v>
      </c>
      <c r="B8" s="187" t="str">
        <f>'t1'!B8</f>
        <v>016P02</v>
      </c>
      <c r="C8" s="348">
        <f>'t1'!C8+'t1'!D8</f>
        <v>9</v>
      </c>
      <c r="D8" s="348">
        <f>'t5'!S9+'t5'!T9</f>
        <v>2</v>
      </c>
      <c r="E8" s="349">
        <f>'t6'!U9+'t6'!V9</f>
        <v>0</v>
      </c>
      <c r="F8" s="349">
        <f>'t4'!E31</f>
        <v>0</v>
      </c>
      <c r="G8" s="349">
        <f t="shared" si="0"/>
        <v>7</v>
      </c>
      <c r="H8" s="349">
        <f>'t4'!AB8</f>
        <v>0</v>
      </c>
      <c r="I8" s="178" t="str">
        <f t="shared" si="1"/>
        <v>OK</v>
      </c>
    </row>
    <row r="9" spans="1:9" ht="12.75" customHeight="1">
      <c r="A9" s="137" t="str">
        <f>'t1'!A9</f>
        <v>DIRETTORE AMMINISTRATIVO EP2</v>
      </c>
      <c r="B9" s="187" t="str">
        <f>'t1'!B9</f>
        <v>013504</v>
      </c>
      <c r="C9" s="348">
        <f>'t1'!C9+'t1'!D9</f>
        <v>1</v>
      </c>
      <c r="D9" s="348">
        <f>'t5'!S10+'t5'!T10</f>
        <v>0</v>
      </c>
      <c r="E9" s="349">
        <f>'t6'!U10+'t6'!V10</f>
        <v>0</v>
      </c>
      <c r="F9" s="349">
        <f>'t4'!F31</f>
        <v>0</v>
      </c>
      <c r="G9" s="349">
        <f t="shared" si="0"/>
        <v>1</v>
      </c>
      <c r="H9" s="349">
        <f>'t4'!AB9</f>
        <v>0</v>
      </c>
      <c r="I9" s="178" t="str">
        <f t="shared" si="1"/>
        <v>OK</v>
      </c>
    </row>
    <row r="10" spans="1:9" ht="12.75" customHeight="1">
      <c r="A10" s="137" t="str">
        <f>'t1'!A10</f>
        <v>DIRETTORE DELL UFFICIO DI RAGIONERIA (EP1)</v>
      </c>
      <c r="B10" s="187" t="str">
        <f>'t1'!B10</f>
        <v>013159</v>
      </c>
      <c r="C10" s="348">
        <f>'t1'!C10+'t1'!D10</f>
        <v>1</v>
      </c>
      <c r="D10" s="348">
        <f>'t5'!S11+'t5'!T11</f>
        <v>0</v>
      </c>
      <c r="E10" s="349">
        <f>'t6'!U11+'t6'!V11</f>
        <v>0</v>
      </c>
      <c r="F10" s="349">
        <f>'t4'!G31</f>
        <v>0</v>
      </c>
      <c r="G10" s="349">
        <f t="shared" si="0"/>
        <v>1</v>
      </c>
      <c r="H10" s="349">
        <f>'t4'!AB10</f>
        <v>0</v>
      </c>
      <c r="I10" s="178" t="str">
        <f t="shared" si="1"/>
        <v>OK</v>
      </c>
    </row>
    <row r="11" spans="1:9" ht="12.75" customHeight="1">
      <c r="A11" s="137" t="str">
        <f>'t1'!A11</f>
        <v>COORDINATORE DI BIBLIOTECA TECNICO E AMMINISTRATIVO(D)</v>
      </c>
      <c r="B11" s="187" t="str">
        <f>'t1'!B11</f>
        <v>013DTE</v>
      </c>
      <c r="C11" s="348">
        <f>'t1'!C11+'t1'!D11</f>
        <v>0</v>
      </c>
      <c r="D11" s="348">
        <f>'t5'!S12+'t5'!T12</f>
        <v>0</v>
      </c>
      <c r="E11" s="349">
        <f>'t6'!U12+'t6'!V12</f>
        <v>0</v>
      </c>
      <c r="F11" s="349">
        <f>'t4'!H31</f>
        <v>0</v>
      </c>
      <c r="G11" s="349">
        <f t="shared" si="0"/>
        <v>0</v>
      </c>
      <c r="H11" s="349">
        <f>'t4'!AB11</f>
        <v>0</v>
      </c>
      <c r="I11" s="178" t="str">
        <f t="shared" si="1"/>
        <v>OK</v>
      </c>
    </row>
    <row r="12" spans="1:9" ht="12.75" customHeight="1">
      <c r="A12" s="137" t="str">
        <f>'t1'!A12</f>
        <v>COLLABORATORE TEC. AMMIN. DI BIBLIOT. E DI LAB. (C)</v>
      </c>
      <c r="B12" s="187" t="str">
        <f>'t1'!B12</f>
        <v>013CTE</v>
      </c>
      <c r="C12" s="348">
        <f>'t1'!C12+'t1'!D12</f>
        <v>0</v>
      </c>
      <c r="D12" s="348">
        <f>'t5'!S13+'t5'!T13</f>
        <v>0</v>
      </c>
      <c r="E12" s="349">
        <f>'t6'!U13+'t6'!V13</f>
        <v>0</v>
      </c>
      <c r="F12" s="349">
        <f>'t4'!I31</f>
        <v>0</v>
      </c>
      <c r="G12" s="349">
        <f t="shared" si="0"/>
        <v>0</v>
      </c>
      <c r="H12" s="349">
        <f>'t4'!AB12</f>
        <v>0</v>
      </c>
      <c r="I12" s="178" t="str">
        <f t="shared" si="1"/>
        <v>OK</v>
      </c>
    </row>
    <row r="13" spans="1:9" ht="12.75" customHeight="1">
      <c r="A13" s="137" t="str">
        <f>'t1'!A13</f>
        <v>ASSISTENTE AMMINISTRATIVO (B)</v>
      </c>
      <c r="B13" s="187" t="str">
        <f>'t1'!B13</f>
        <v>012117</v>
      </c>
      <c r="C13" s="348">
        <f>'t1'!C13+'t1'!D13</f>
        <v>4</v>
      </c>
      <c r="D13" s="348">
        <f>'t5'!S14+'t5'!T14</f>
        <v>0</v>
      </c>
      <c r="E13" s="349">
        <f>'t6'!U14+'t6'!V14</f>
        <v>0</v>
      </c>
      <c r="F13" s="349">
        <f>'t4'!J31</f>
        <v>0</v>
      </c>
      <c r="G13" s="349">
        <f t="shared" si="0"/>
        <v>4</v>
      </c>
      <c r="H13" s="349">
        <f>'t4'!AB13</f>
        <v>0</v>
      </c>
      <c r="I13" s="178" t="str">
        <f t="shared" si="1"/>
        <v>OK</v>
      </c>
    </row>
    <row r="14" spans="1:9" ht="12.75" customHeight="1">
      <c r="A14" s="137" t="str">
        <f>'t1'!A14</f>
        <v>COADIUTORE (A)</v>
      </c>
      <c r="B14" s="187" t="str">
        <f>'t1'!B14</f>
        <v>011121</v>
      </c>
      <c r="C14" s="348">
        <f>'t1'!C14+'t1'!D14</f>
        <v>6</v>
      </c>
      <c r="D14" s="348">
        <f>'t5'!S15+'t5'!T15</f>
        <v>0</v>
      </c>
      <c r="E14" s="349">
        <f>'t6'!U15+'t6'!V15</f>
        <v>0</v>
      </c>
      <c r="F14" s="349">
        <f>'t4'!K31</f>
        <v>0</v>
      </c>
      <c r="G14" s="349">
        <f t="shared" si="0"/>
        <v>6</v>
      </c>
      <c r="H14" s="349">
        <f>'t4'!AB14</f>
        <v>0</v>
      </c>
      <c r="I14" s="178" t="str">
        <f t="shared" si="1"/>
        <v>OK</v>
      </c>
    </row>
    <row r="15" spans="1:9" ht="12.75" customHeight="1">
      <c r="A15" s="137" t="str">
        <f>'t1'!A15</f>
        <v>PROFESSORI DI PRIMA FASCIA TEMPO DET.ANNUALE</v>
      </c>
      <c r="B15" s="187" t="str">
        <f>'t1'!B15</f>
        <v>018PD1</v>
      </c>
      <c r="C15" s="348">
        <f>'t1'!C15+'t1'!D15</f>
        <v>20</v>
      </c>
      <c r="D15" s="348">
        <f>'t5'!S16+'t5'!T16</f>
        <v>0</v>
      </c>
      <c r="E15" s="349">
        <f>'t6'!U16+'t6'!V16</f>
        <v>0</v>
      </c>
      <c r="F15" s="349">
        <f>'t4'!L31</f>
        <v>0</v>
      </c>
      <c r="G15" s="349">
        <f t="shared" si="0"/>
        <v>20</v>
      </c>
      <c r="H15" s="349">
        <f>'t4'!AB15</f>
        <v>0</v>
      </c>
      <c r="I15" s="178" t="str">
        <f t="shared" si="1"/>
        <v>OK</v>
      </c>
    </row>
    <row r="16" spans="1:9" ht="12.75" customHeight="1">
      <c r="A16" s="137" t="str">
        <f>'t1'!A16</f>
        <v>PROFESSORI DI SECONDA FASCIA TEMPO DET.ANNUALE</v>
      </c>
      <c r="B16" s="187" t="str">
        <f>'t1'!B16</f>
        <v>016PD2</v>
      </c>
      <c r="C16" s="348">
        <f>'t1'!C16+'t1'!D16</f>
        <v>4</v>
      </c>
      <c r="D16" s="348">
        <f>'t5'!S17+'t5'!T17</f>
        <v>0</v>
      </c>
      <c r="E16" s="349">
        <f>'t6'!U17+'t6'!V17</f>
        <v>0</v>
      </c>
      <c r="F16" s="349">
        <f>'t4'!M31</f>
        <v>0</v>
      </c>
      <c r="G16" s="349">
        <f t="shared" si="0"/>
        <v>4</v>
      </c>
      <c r="H16" s="349">
        <f>'t4'!AB16</f>
        <v>0</v>
      </c>
      <c r="I16" s="178" t="str">
        <f t="shared" si="1"/>
        <v>OK</v>
      </c>
    </row>
    <row r="17" spans="1:9" ht="12.75" customHeight="1">
      <c r="A17" s="137" t="str">
        <f>'t1'!A17</f>
        <v>PROFESSORI DI PRIMA FASCIA T. DET. TERMINE ATTIV DIDATT</v>
      </c>
      <c r="B17" s="187" t="str">
        <f>'t1'!B17</f>
        <v>018DD1</v>
      </c>
      <c r="C17" s="348">
        <f>'t1'!C17+'t1'!D17</f>
        <v>0</v>
      </c>
      <c r="D17" s="348">
        <f>'t5'!S18+'t5'!T18</f>
        <v>0</v>
      </c>
      <c r="E17" s="349">
        <f>'t6'!U18+'t6'!V18</f>
        <v>0</v>
      </c>
      <c r="F17" s="349">
        <f>'t4'!N31</f>
        <v>0</v>
      </c>
      <c r="G17" s="349">
        <f t="shared" si="0"/>
        <v>0</v>
      </c>
      <c r="H17" s="349">
        <f>'t4'!AB17</f>
        <v>0</v>
      </c>
      <c r="I17" s="178" t="str">
        <f t="shared" si="1"/>
        <v>OK</v>
      </c>
    </row>
    <row r="18" spans="1:9" ht="12.75" customHeight="1">
      <c r="A18" s="137" t="str">
        <f>'t1'!A18</f>
        <v>PROFESSORI DI SECONDA FASCIA T. DET. TERMINE ATTIV DIDATT</v>
      </c>
      <c r="B18" s="187" t="str">
        <f>'t1'!B18</f>
        <v>016DD2</v>
      </c>
      <c r="C18" s="348">
        <f>'t1'!C18+'t1'!D18</f>
        <v>0</v>
      </c>
      <c r="D18" s="348">
        <f>'t5'!S19+'t5'!T19</f>
        <v>0</v>
      </c>
      <c r="E18" s="349">
        <f>'t6'!U19+'t6'!V19</f>
        <v>0</v>
      </c>
      <c r="F18" s="349">
        <f>'t4'!O31</f>
        <v>0</v>
      </c>
      <c r="G18" s="349">
        <f t="shared" si="0"/>
        <v>0</v>
      </c>
      <c r="H18" s="349">
        <f>'t4'!AB18</f>
        <v>0</v>
      </c>
      <c r="I18" s="178" t="str">
        <f t="shared" si="1"/>
        <v>OK</v>
      </c>
    </row>
    <row r="19" spans="1:9" ht="12.75" customHeight="1">
      <c r="A19" s="137" t="str">
        <f>'t1'!A19</f>
        <v>DIRETTORE AMMINISTRATIVO TEMPO DET.ANNUALE (EP2)</v>
      </c>
      <c r="B19" s="187" t="str">
        <f>'t1'!B19</f>
        <v>013EP2</v>
      </c>
      <c r="C19" s="348">
        <f>'t1'!C19+'t1'!D19</f>
        <v>0</v>
      </c>
      <c r="D19" s="348">
        <f>'t5'!S20+'t5'!T20</f>
        <v>0</v>
      </c>
      <c r="E19" s="349">
        <f>'t6'!U20+'t6'!V20</f>
        <v>0</v>
      </c>
      <c r="F19" s="349">
        <f>'t4'!P31</f>
        <v>0</v>
      </c>
      <c r="G19" s="349">
        <f t="shared" si="0"/>
        <v>0</v>
      </c>
      <c r="H19" s="349">
        <f>'t4'!AB19</f>
        <v>0</v>
      </c>
      <c r="I19" s="178" t="str">
        <f t="shared" si="1"/>
        <v>OK</v>
      </c>
    </row>
    <row r="20" spans="1:9" ht="12.75" customHeight="1">
      <c r="A20" s="137" t="str">
        <f>'t1'!A20</f>
        <v>DIRETTORE DELL UFFICIO DI RAGIONERIA TEMPO DET.ANNUALE (EP1)</v>
      </c>
      <c r="B20" s="187" t="str">
        <f>'t1'!B20</f>
        <v>013160</v>
      </c>
      <c r="C20" s="348">
        <f>'t1'!C20+'t1'!D20</f>
        <v>0</v>
      </c>
      <c r="D20" s="348">
        <f>'t5'!S21+'t5'!T21</f>
        <v>0</v>
      </c>
      <c r="E20" s="349">
        <f>'t6'!U21+'t6'!V21</f>
        <v>0</v>
      </c>
      <c r="F20" s="349">
        <f>'t4'!Q31</f>
        <v>0</v>
      </c>
      <c r="G20" s="349">
        <f t="shared" si="0"/>
        <v>0</v>
      </c>
      <c r="H20" s="349">
        <f>'t4'!AB20</f>
        <v>0</v>
      </c>
      <c r="I20" s="178" t="str">
        <f t="shared" si="1"/>
        <v>OK</v>
      </c>
    </row>
    <row r="21" spans="1:9" ht="12.75" customHeight="1">
      <c r="A21" s="137" t="str">
        <f>'t1'!A21</f>
        <v>DIRETTORE AMMINISTRATIVO T. DET. TERMINE ATTIV DIDATT(EP2)</v>
      </c>
      <c r="B21" s="187" t="str">
        <f>'t1'!B21</f>
        <v>013E2N</v>
      </c>
      <c r="C21" s="348">
        <f>'t1'!C21+'t1'!D21</f>
        <v>0</v>
      </c>
      <c r="D21" s="348">
        <f>'t5'!S22+'t5'!T22</f>
        <v>0</v>
      </c>
      <c r="E21" s="349">
        <f>'t6'!U22+'t6'!V22</f>
        <v>0</v>
      </c>
      <c r="F21" s="349">
        <f>'t4'!R31</f>
        <v>0</v>
      </c>
      <c r="G21" s="349">
        <f t="shared" si="0"/>
        <v>0</v>
      </c>
      <c r="H21" s="349">
        <f>'t4'!AB21</f>
        <v>0</v>
      </c>
      <c r="I21" s="178" t="str">
        <f t="shared" si="1"/>
        <v>OK</v>
      </c>
    </row>
    <row r="22" spans="1:9" ht="12.75" customHeight="1">
      <c r="A22" s="137" t="str">
        <f>'t1'!A22</f>
        <v>DIRETTORE UFF. RAGIONERIA T. DET. TERM. ATTIV DIDATT(EP1)</v>
      </c>
      <c r="B22" s="187" t="str">
        <f>'t1'!B22</f>
        <v>013E1N</v>
      </c>
      <c r="C22" s="348">
        <f>'t1'!C22+'t1'!D22</f>
        <v>0</v>
      </c>
      <c r="D22" s="348">
        <f>'t5'!S23+'t5'!T23</f>
        <v>0</v>
      </c>
      <c r="E22" s="349">
        <f>'t6'!U23+'t6'!V23</f>
        <v>0</v>
      </c>
      <c r="F22" s="349">
        <f>'t4'!S31</f>
        <v>0</v>
      </c>
      <c r="G22" s="349">
        <f t="shared" si="0"/>
        <v>0</v>
      </c>
      <c r="H22" s="349">
        <f>'t4'!AB22</f>
        <v>0</v>
      </c>
      <c r="I22" s="178" t="str">
        <f t="shared" si="1"/>
        <v>OK</v>
      </c>
    </row>
    <row r="23" spans="1:9" ht="12.75" customHeight="1">
      <c r="A23" s="137" t="str">
        <f>'t1'!A23</f>
        <v>COORD. DI BIBLIOT., COORD. TEC. E AMM. TEMPO DET.ANNUALE</v>
      </c>
      <c r="B23" s="187" t="str">
        <f>'t1'!B23</f>
        <v>013DDE</v>
      </c>
      <c r="C23" s="348">
        <f>'t1'!C23+'t1'!D23</f>
        <v>0</v>
      </c>
      <c r="D23" s="348">
        <f>'t5'!S24+'t5'!T24</f>
        <v>0</v>
      </c>
      <c r="E23" s="349">
        <f>'t6'!U24+'t6'!V24</f>
        <v>0</v>
      </c>
      <c r="F23" s="349">
        <f>'t4'!T31</f>
        <v>0</v>
      </c>
      <c r="G23" s="349">
        <f t="shared" si="0"/>
        <v>0</v>
      </c>
      <c r="H23" s="349">
        <f>'t4'!AB23</f>
        <v>0</v>
      </c>
      <c r="I23" s="178" t="str">
        <f t="shared" si="1"/>
        <v>OK</v>
      </c>
    </row>
    <row r="24" spans="1:9" ht="12.75" customHeight="1">
      <c r="A24" s="137" t="str">
        <f>'t1'!A24</f>
        <v>COLLAB. TEC. AMMIN. DI BIBLIOT. E DI LAB. TEMPO DET.ANNUALE</v>
      </c>
      <c r="B24" s="187" t="str">
        <f>'t1'!B24</f>
        <v>013CDE</v>
      </c>
      <c r="C24" s="348">
        <f>'t1'!C24+'t1'!D24</f>
        <v>0</v>
      </c>
      <c r="D24" s="348">
        <f>'t5'!S25+'t5'!T25</f>
        <v>0</v>
      </c>
      <c r="E24" s="349">
        <f>'t6'!U25+'t6'!V25</f>
        <v>0</v>
      </c>
      <c r="F24" s="349">
        <f>'t4'!U31</f>
        <v>0</v>
      </c>
      <c r="G24" s="349">
        <f t="shared" si="0"/>
        <v>0</v>
      </c>
      <c r="H24" s="349">
        <f>'t4'!AB24</f>
        <v>0</v>
      </c>
      <c r="I24" s="178" t="str">
        <f t="shared" si="1"/>
        <v>OK</v>
      </c>
    </row>
    <row r="25" spans="1:9" ht="12.75" customHeight="1">
      <c r="A25" s="137" t="str">
        <f>'t1'!A25</f>
        <v>ASSIST. AMMINISTRATIVO TEMPO DET.ANNUALE</v>
      </c>
      <c r="B25" s="187" t="str">
        <f>'t1'!B25</f>
        <v>012118</v>
      </c>
      <c r="C25" s="348">
        <f>'t1'!C25+'t1'!D25</f>
        <v>1</v>
      </c>
      <c r="D25" s="348">
        <f>'t5'!S26+'t5'!T26</f>
        <v>0</v>
      </c>
      <c r="E25" s="349">
        <f>'t6'!U26+'t6'!V26</f>
        <v>0</v>
      </c>
      <c r="F25" s="349">
        <f>'t4'!V31</f>
        <v>0</v>
      </c>
      <c r="G25" s="349">
        <f t="shared" si="0"/>
        <v>1</v>
      </c>
      <c r="H25" s="349">
        <f>'t4'!AB25</f>
        <v>0</v>
      </c>
      <c r="I25" s="178" t="str">
        <f t="shared" si="1"/>
        <v>OK</v>
      </c>
    </row>
    <row r="26" spans="1:9" ht="12.75" customHeight="1">
      <c r="A26" s="137" t="str">
        <f>'t1'!A26</f>
        <v>COADIUTORE TEMPO DET.ANNUALE</v>
      </c>
      <c r="B26" s="187" t="str">
        <f>'t1'!B26</f>
        <v>011124</v>
      </c>
      <c r="C26" s="348">
        <f>'t1'!C26+'t1'!D26</f>
        <v>4</v>
      </c>
      <c r="D26" s="348">
        <f>'t5'!S27+'t5'!T27</f>
        <v>0</v>
      </c>
      <c r="E26" s="349">
        <f>'t6'!U27+'t6'!V27</f>
        <v>0</v>
      </c>
      <c r="F26" s="349">
        <f>'t4'!W31</f>
        <v>0</v>
      </c>
      <c r="G26" s="349">
        <f t="shared" si="0"/>
        <v>4</v>
      </c>
      <c r="H26" s="349">
        <f>'t4'!AB26</f>
        <v>0</v>
      </c>
      <c r="I26" s="178" t="str">
        <f t="shared" si="1"/>
        <v>OK</v>
      </c>
    </row>
    <row r="27" spans="1:9" ht="12.75" customHeight="1">
      <c r="A27" s="137" t="str">
        <f>'t1'!A27</f>
        <v>COORD. BIBL., COORD. TEC. E AMM. T. DET. TERM. ATTIV DIDATT</v>
      </c>
      <c r="B27" s="187" t="str">
        <f>'t1'!B27</f>
        <v>013DDN</v>
      </c>
      <c r="C27" s="348">
        <f>'t1'!C27+'t1'!D27</f>
        <v>0</v>
      </c>
      <c r="D27" s="348">
        <f>'t5'!S28+'t5'!T28</f>
        <v>0</v>
      </c>
      <c r="E27" s="349">
        <f>'t6'!U28+'t6'!V28</f>
        <v>0</v>
      </c>
      <c r="F27" s="349">
        <f>'t4'!X31</f>
        <v>0</v>
      </c>
      <c r="G27" s="349">
        <f t="shared" si="0"/>
        <v>0</v>
      </c>
      <c r="H27" s="349">
        <f>'t4'!AB27</f>
        <v>0</v>
      </c>
      <c r="I27" s="178" t="str">
        <f t="shared" si="1"/>
        <v>OK</v>
      </c>
    </row>
    <row r="28" spans="1:9" ht="12.75" customHeight="1">
      <c r="A28" s="137" t="str">
        <f>'t1'!A28</f>
        <v>COLLAB. TEC. AMM. BIBL. E DI LAB. T. D. TERM. ATTIV DIDATT</v>
      </c>
      <c r="B28" s="187" t="str">
        <f>'t1'!B28</f>
        <v>013CDN</v>
      </c>
      <c r="C28" s="348">
        <f>'t1'!C28+'t1'!D28</f>
        <v>0</v>
      </c>
      <c r="D28" s="348">
        <f>'t5'!S29+'t5'!T29</f>
        <v>0</v>
      </c>
      <c r="E28" s="349">
        <f>'t6'!U29+'t6'!V29</f>
        <v>0</v>
      </c>
      <c r="F28" s="349">
        <f>'t4'!Y31</f>
        <v>0</v>
      </c>
      <c r="G28" s="349">
        <f t="shared" si="0"/>
        <v>0</v>
      </c>
      <c r="H28" s="349">
        <f>'t4'!AB28</f>
        <v>0</v>
      </c>
      <c r="I28" s="178" t="str">
        <f t="shared" si="1"/>
        <v>OK</v>
      </c>
    </row>
    <row r="29" spans="1:9" ht="12.75" customHeight="1">
      <c r="A29" s="137" t="str">
        <f>'t1'!A29</f>
        <v>ASSISTENTE AMMINISTRATIVO TEM.DET. TERMINE ATTIV DIDATT</v>
      </c>
      <c r="B29" s="187" t="str">
        <f>'t1'!B29</f>
        <v>016509</v>
      </c>
      <c r="C29" s="348">
        <f>'t1'!C29+'t1'!D29</f>
        <v>0</v>
      </c>
      <c r="D29" s="348">
        <f>'t5'!S30+'t5'!T30</f>
        <v>0</v>
      </c>
      <c r="E29" s="349">
        <f>'t6'!U30+'t6'!V30</f>
        <v>0</v>
      </c>
      <c r="F29" s="349">
        <f>'t4'!Z31</f>
        <v>0</v>
      </c>
      <c r="G29" s="349">
        <f t="shared" si="0"/>
        <v>0</v>
      </c>
      <c r="H29" s="349">
        <f>'t4'!AB29</f>
        <v>0</v>
      </c>
      <c r="I29" s="178" t="str">
        <f t="shared" si="1"/>
        <v>OK</v>
      </c>
    </row>
    <row r="30" spans="1:9" ht="12.75" customHeight="1">
      <c r="A30" s="137" t="str">
        <f>'t1'!A30</f>
        <v>COADIUTORE TEMPO DET. TERMINE ATTIV DIDATT</v>
      </c>
      <c r="B30" s="187" t="str">
        <f>'t1'!B30</f>
        <v>011CNA</v>
      </c>
      <c r="C30" s="348">
        <f>'t1'!C30+'t1'!D30</f>
        <v>0</v>
      </c>
      <c r="D30" s="348">
        <f>'t5'!S31+'t5'!T31</f>
        <v>0</v>
      </c>
      <c r="E30" s="349">
        <f>'t6'!U31+'t6'!V31</f>
        <v>0</v>
      </c>
      <c r="F30" s="349">
        <f>'t4'!AA31</f>
        <v>0</v>
      </c>
      <c r="G30" s="349">
        <f t="shared" si="0"/>
        <v>0</v>
      </c>
      <c r="H30" s="349">
        <f>'t4'!AB30</f>
        <v>0</v>
      </c>
      <c r="I30" s="178" t="str">
        <f t="shared" si="1"/>
        <v>OK</v>
      </c>
    </row>
    <row r="31" spans="1:9" s="355" customFormat="1" ht="15.75" customHeight="1">
      <c r="A31" s="752" t="str">
        <f>'t1'!A31</f>
        <v>TOTALE</v>
      </c>
      <c r="B31" s="208"/>
      <c r="C31" s="373">
        <f aca="true" t="shared" si="2" ref="C31:H31">SUM(C6:C30)</f>
        <v>61</v>
      </c>
      <c r="D31" s="373">
        <f t="shared" si="2"/>
        <v>3</v>
      </c>
      <c r="E31" s="373">
        <f t="shared" si="2"/>
        <v>0</v>
      </c>
      <c r="F31" s="373">
        <f t="shared" si="2"/>
        <v>0</v>
      </c>
      <c r="G31" s="373">
        <f t="shared" si="2"/>
        <v>58</v>
      </c>
      <c r="H31" s="373">
        <f t="shared" si="2"/>
        <v>0</v>
      </c>
      <c r="I31" s="179" t="str">
        <f>IF(H31&lt;=G31,"OK","ERRORE")</f>
        <v>OK</v>
      </c>
    </row>
  </sheetData>
  <sheetProtection password="EA98" sheet="1" formatColumns="0" selectLockedCells="1" selectUnlockedCells="1"/>
  <mergeCells count="2">
    <mergeCell ref="D2:I2"/>
    <mergeCell ref="A1:G1"/>
  </mergeCells>
  <printOptions horizontalCentered="1" verticalCentered="1"/>
  <pageMargins left="0" right="0" top="0.15748031496062992" bottom="0.15748031496062992" header="0.1968503937007874" footer="0.1968503937007874"/>
  <pageSetup horizontalDpi="300" verticalDpi="300" orientation="landscape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6"/>
  <dimension ref="A1:M21"/>
  <sheetViews>
    <sheetView showGridLines="0" zoomScalePageLayoutView="0" workbookViewId="0" topLeftCell="A4">
      <selection activeCell="B2" sqref="B2"/>
    </sheetView>
  </sheetViews>
  <sheetFormatPr defaultColWidth="9.33203125" defaultRowHeight="10.5"/>
  <cols>
    <col min="1" max="1" width="57.83203125" style="5" customWidth="1"/>
    <col min="2" max="3" width="19.83203125" style="5" customWidth="1"/>
    <col min="4" max="4" width="26.83203125" style="5" customWidth="1"/>
    <col min="5" max="5" width="25.16015625" style="5" customWidth="1"/>
    <col min="6" max="16384" width="9.33203125" style="5" customWidth="1"/>
  </cols>
  <sheetData>
    <row r="1" spans="1:13" ht="43.5" customHeight="1">
      <c r="A1" s="1155" t="str">
        <f>'t1'!A1</f>
        <v>COMPARTO AFAM - anno 2016</v>
      </c>
      <c r="B1" s="1155"/>
      <c r="C1" s="1155"/>
      <c r="D1" s="1155"/>
      <c r="E1" s="320"/>
      <c r="F1" s="323"/>
      <c r="G1" s="323"/>
      <c r="H1" s="323"/>
      <c r="I1" s="323"/>
      <c r="K1" s="3"/>
      <c r="M1"/>
    </row>
    <row r="2" spans="1:13" ht="16.5" thickBot="1">
      <c r="A2" s="986" t="s">
        <v>712</v>
      </c>
      <c r="C2" s="1237"/>
      <c r="D2" s="1237"/>
      <c r="E2" s="1237"/>
      <c r="F2" s="324"/>
      <c r="G2" s="324"/>
      <c r="H2" s="324"/>
      <c r="I2" s="324"/>
      <c r="K2" s="3"/>
      <c r="M2"/>
    </row>
    <row r="3" spans="1:5" ht="30" customHeight="1" thickBot="1">
      <c r="A3" s="1245" t="s">
        <v>713</v>
      </c>
      <c r="B3" s="1246"/>
      <c r="C3" s="1246"/>
      <c r="D3" s="1246"/>
      <c r="E3" s="1247"/>
    </row>
    <row r="4" spans="1:5" s="198" customFormat="1" ht="31.5">
      <c r="A4" s="700" t="s">
        <v>714</v>
      </c>
      <c r="B4" s="701" t="s">
        <v>715</v>
      </c>
      <c r="C4" s="701" t="s">
        <v>242</v>
      </c>
      <c r="D4" s="702" t="s">
        <v>243</v>
      </c>
      <c r="E4" s="703" t="s">
        <v>446</v>
      </c>
    </row>
    <row r="5" spans="1:5" ht="20.25" customHeight="1">
      <c r="A5" s="202" t="s">
        <v>46</v>
      </c>
      <c r="B5" s="860">
        <f>SI_1!G56</f>
        <v>14</v>
      </c>
      <c r="C5" s="206">
        <f>'t14'!D12</f>
        <v>121136</v>
      </c>
      <c r="D5" s="209" t="str">
        <f>IF(B5=0,IF(C5=0,"OK","MANCANO LE UNITA'"),IF(C5=0,"MANCANO LE SPESE","OK"))</f>
        <v>OK</v>
      </c>
      <c r="E5" s="205">
        <f>IF(AND(B5&gt;0,C5&gt;0),C5/B5," ")</f>
        <v>8653</v>
      </c>
    </row>
    <row r="6" spans="1:5" ht="20.25" customHeight="1">
      <c r="A6" s="202" t="s">
        <v>19</v>
      </c>
      <c r="B6" s="860">
        <f>SI_1!G59</f>
        <v>0</v>
      </c>
      <c r="C6" s="206">
        <f>'t14'!D13</f>
        <v>0</v>
      </c>
      <c r="D6" s="209" t="str">
        <f>IF(B6=0,IF(C6=0,"OK","MANCANO LE UNITA'"),IF(C6=0,"MANCANO LE SPESE","OK"))</f>
        <v>OK</v>
      </c>
      <c r="E6" s="205" t="str">
        <f>IF(AND(B6&gt;0,C6&gt;0),C6/B6," ")</f>
        <v> </v>
      </c>
    </row>
    <row r="7" spans="1:5" ht="20.25" customHeight="1" thickBot="1">
      <c r="A7" s="203" t="s">
        <v>20</v>
      </c>
      <c r="B7" s="861">
        <f>SI_1!G62</f>
        <v>6</v>
      </c>
      <c r="C7" s="207">
        <f>'t14'!D14</f>
        <v>22162</v>
      </c>
      <c r="D7" s="210" t="str">
        <f>IF(B7=0,IF(C7=0,"OK","MANCANO LE UNITA'"),IF(C7=0,"MANCANO LE SPESE","OK"))</f>
        <v>OK</v>
      </c>
      <c r="E7" s="527">
        <f>IF(AND(B7&gt;0,C7&gt;0),C7/B7," ")</f>
        <v>3694</v>
      </c>
    </row>
    <row r="10" ht="18.75" thickBot="1">
      <c r="A10" s="987" t="s">
        <v>716</v>
      </c>
    </row>
    <row r="11" spans="1:5" ht="30" customHeight="1" thickBot="1">
      <c r="A11" s="1245" t="s">
        <v>717</v>
      </c>
      <c r="B11" s="1246"/>
      <c r="C11" s="1246"/>
      <c r="D11" s="1246"/>
      <c r="E11" s="1247"/>
    </row>
    <row r="12" spans="1:5" s="198" customFormat="1" ht="32.25" thickBot="1">
      <c r="A12" s="700" t="s">
        <v>718</v>
      </c>
      <c r="B12" s="701" t="s">
        <v>719</v>
      </c>
      <c r="C12" s="701" t="s">
        <v>242</v>
      </c>
      <c r="D12" s="702" t="s">
        <v>243</v>
      </c>
      <c r="E12" s="703" t="s">
        <v>446</v>
      </c>
    </row>
    <row r="13" spans="1:5" ht="20.25" customHeight="1">
      <c r="A13" s="524" t="s">
        <v>202</v>
      </c>
      <c r="B13" s="859">
        <f>'t2'!C9+'t2'!D9</f>
        <v>14</v>
      </c>
      <c r="C13" s="525">
        <f>'t14'!D16</f>
        <v>16901</v>
      </c>
      <c r="D13" s="526" t="str">
        <f>IF(B13=0,IF(C13=0,"OK","MANCANO LE UNITA'"),IF(C13=0,"MANCANO LE SPESE","OK"))</f>
        <v>OK</v>
      </c>
      <c r="E13" s="204">
        <f>IF(AND(B13&gt;0,C13&gt;0),C13/B13," ")</f>
        <v>1207</v>
      </c>
    </row>
    <row r="14" spans="1:5" ht="20.25" customHeight="1">
      <c r="A14" s="202" t="s">
        <v>203</v>
      </c>
      <c r="B14" s="860">
        <f>'t2'!E9+'t2'!F9</f>
        <v>0</v>
      </c>
      <c r="C14" s="206">
        <f>'t14'!D17</f>
        <v>0</v>
      </c>
      <c r="D14" s="209" t="str">
        <f>IF(B14=0,IF(C14=0,"OK","MANCANO LE UNITA'"),IF(C14=0,"MANCANO LE SPESE","OK"))</f>
        <v>OK</v>
      </c>
      <c r="E14" s="205" t="str">
        <f>IF(AND(B14&gt;0,C14&gt;0),C14/B14," ")</f>
        <v> </v>
      </c>
    </row>
    <row r="15" spans="1:5" ht="20.25" customHeight="1">
      <c r="A15" s="202" t="s">
        <v>57</v>
      </c>
      <c r="B15" s="860">
        <f>'t2'!G9+'t2'!H9</f>
        <v>0</v>
      </c>
      <c r="C15" s="206">
        <f>'t14'!D23</f>
        <v>0</v>
      </c>
      <c r="D15" s="209" t="str">
        <f>IF(B15=0,IF(C15=0,"OK","MANCANO LE UNITA'"),IF(C15=0,"MANCANO LE SPESE","OK"))</f>
        <v>OK</v>
      </c>
      <c r="E15" s="205" t="str">
        <f>IF(AND(B15&gt;0,C15&gt;0),C15/B15," ")</f>
        <v> </v>
      </c>
    </row>
    <row r="16" spans="1:5" ht="20.25" customHeight="1">
      <c r="A16" s="202" t="s">
        <v>204</v>
      </c>
      <c r="B16" s="860">
        <f>'t2'!I9+'t2'!J9</f>
        <v>0</v>
      </c>
      <c r="C16" s="206">
        <f>'t14'!D24</f>
        <v>0</v>
      </c>
      <c r="D16" s="209" t="str">
        <f>IF(B16=0,IF(C16=0,"OK","MANCANO LE UNITA'"),IF(C16=0,"MANCANO LE SPESE","OK"))</f>
        <v>OK</v>
      </c>
      <c r="E16" s="205" t="str">
        <f>IF(AND(B16&gt;0,C16&gt;0),C16/B16," ")</f>
        <v> </v>
      </c>
    </row>
    <row r="17" spans="1:5" ht="13.5" customHeight="1" thickBot="1">
      <c r="A17" s="988"/>
      <c r="B17" s="989"/>
      <c r="C17" s="989"/>
      <c r="D17" s="989"/>
      <c r="E17" s="990"/>
    </row>
    <row r="18" spans="1:5" s="198" customFormat="1" ht="31.5">
      <c r="A18" s="539" t="s">
        <v>444</v>
      </c>
      <c r="B18" s="540" t="s">
        <v>445</v>
      </c>
      <c r="C18" s="540" t="s">
        <v>242</v>
      </c>
      <c r="D18" s="541" t="s">
        <v>448</v>
      </c>
      <c r="E18" s="726" t="s">
        <v>447</v>
      </c>
    </row>
    <row r="19" spans="1:5" ht="27.75" customHeight="1">
      <c r="A19" s="699" t="str">
        <f>'t14'!A10</f>
        <v>SOMME CORRISPOSTE AD AGENZIA DI SOMMINISTRAZIONE(INTERINALI)</v>
      </c>
      <c r="B19" s="178" t="str">
        <f>'t14'!B10</f>
        <v>L105</v>
      </c>
      <c r="C19" s="745">
        <f>'t14'!D10</f>
        <v>0</v>
      </c>
      <c r="D19" s="727" t="str">
        <f>(IF(AND(C19=0,C20&gt;0),"INSERIRE SOMME SPETTANTI ALL'AGENZIA (L105)","OK"))</f>
        <v>OK</v>
      </c>
      <c r="E19" s="1248" t="str">
        <f>(IF(AND(C19&gt;0,C20&gt;0),C19/C20," "))</f>
        <v> </v>
      </c>
    </row>
    <row r="20" spans="1:5" ht="27.75" customHeight="1">
      <c r="A20" s="704" t="str">
        <f>'t14'!A23</f>
        <v>ONERI PER I CONTRATTI DI SOMMINISTRAZIONE(INTERINALI)</v>
      </c>
      <c r="B20" s="705" t="str">
        <f>'t14'!B23</f>
        <v>P062</v>
      </c>
      <c r="C20" s="746">
        <f>'t14'!D23</f>
        <v>0</v>
      </c>
      <c r="D20" s="728" t="str">
        <f>(IF(AND(C20=0,C19&gt;0),"INSERIRE RETRIBUZIONI PER INTERINALI (P062)","OK"))</f>
        <v>OK</v>
      </c>
      <c r="E20" s="1249"/>
    </row>
    <row r="21" spans="1:5" ht="40.5" customHeight="1" thickBot="1">
      <c r="A21" s="1251" t="s">
        <v>457</v>
      </c>
      <c r="B21" s="1252"/>
      <c r="C21" s="1253"/>
      <c r="D21" s="729" t="str">
        <f>(IF(AND(C19&gt;0,C20&gt;0),IF(C19&gt;(C20/100*30),"ATTENZIONE: la voce L105 supera il 30% della voce P062. L'IN1 andrà giustificata","OK"),"OK"))</f>
        <v>OK</v>
      </c>
      <c r="E21" s="1250"/>
    </row>
  </sheetData>
  <sheetProtection password="EA98" sheet="1" formatColumns="0" selectLockedCells="1" selectUnlockedCells="1"/>
  <mergeCells count="6">
    <mergeCell ref="A3:E3"/>
    <mergeCell ref="A1:D1"/>
    <mergeCell ref="C2:E2"/>
    <mergeCell ref="E19:E21"/>
    <mergeCell ref="A21:C21"/>
    <mergeCell ref="A11:E11"/>
  </mergeCells>
  <conditionalFormatting sqref="D19:D21 D13:D16 D5:D7">
    <cfRule type="notContainsText" priority="1" dxfId="28" operator="notContains" stopIfTrue="1" text="ok">
      <formula>ISERROR(SEARCH("ok",D5))</formula>
    </cfRule>
  </conditionalFormatting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7"/>
  <dimension ref="A1:M30"/>
  <sheetViews>
    <sheetView showGridLines="0" zoomScalePageLayoutView="0" workbookViewId="0" topLeftCell="A1">
      <pane ySplit="5" topLeftCell="A15" activePane="bottomLeft" state="frozen"/>
      <selection pane="topLeft" activeCell="E11" sqref="E11"/>
      <selection pane="bottomLeft" activeCell="A5" sqref="A5"/>
    </sheetView>
  </sheetViews>
  <sheetFormatPr defaultColWidth="9.33203125" defaultRowHeight="10.5"/>
  <cols>
    <col min="1" max="1" width="57.83203125" style="5" customWidth="1"/>
    <col min="2" max="2" width="11.33203125" style="7" customWidth="1"/>
    <col min="3" max="3" width="13.16015625" style="7" customWidth="1"/>
    <col min="4" max="4" width="17.83203125" style="7" customWidth="1"/>
    <col min="5" max="6" width="15.83203125" style="7" customWidth="1"/>
    <col min="7" max="8" width="15.83203125" style="108" customWidth="1"/>
    <col min="9" max="9" width="18.33203125" style="108" customWidth="1"/>
    <col min="10" max="10" width="9.33203125" style="108" customWidth="1"/>
  </cols>
  <sheetData>
    <row r="1" spans="1:13" s="5" customFormat="1" ht="43.5" customHeight="1">
      <c r="A1" s="1155" t="str">
        <f>'t1'!A1</f>
        <v>COMPARTO AFAM - anno 2016</v>
      </c>
      <c r="B1" s="1155"/>
      <c r="C1" s="1155"/>
      <c r="D1" s="1155"/>
      <c r="E1" s="1155"/>
      <c r="F1" s="1155"/>
      <c r="G1" s="1155"/>
      <c r="H1" s="1155"/>
      <c r="I1" s="320"/>
      <c r="K1" s="3"/>
      <c r="M1"/>
    </row>
    <row r="2" spans="4:13" s="5" customFormat="1" ht="12.75" customHeight="1">
      <c r="D2" s="1237"/>
      <c r="E2" s="1237"/>
      <c r="F2" s="1237"/>
      <c r="G2" s="1237"/>
      <c r="H2" s="1237"/>
      <c r="I2" s="1237"/>
      <c r="J2" s="324"/>
      <c r="K2" s="3"/>
      <c r="M2"/>
    </row>
    <row r="3" spans="1:6" s="5" customFormat="1" ht="21" customHeight="1">
      <c r="A3" s="197" t="s">
        <v>271</v>
      </c>
      <c r="B3" s="7"/>
      <c r="F3" s="7"/>
    </row>
    <row r="4" spans="1:9" ht="56.25">
      <c r="A4" s="183" t="s">
        <v>244</v>
      </c>
      <c r="B4" s="185" t="s">
        <v>206</v>
      </c>
      <c r="C4" s="184" t="s">
        <v>245</v>
      </c>
      <c r="D4" s="184" t="s">
        <v>249</v>
      </c>
      <c r="E4" s="184" t="s">
        <v>250</v>
      </c>
      <c r="F4" s="184" t="s">
        <v>251</v>
      </c>
      <c r="G4" s="184" t="s">
        <v>205</v>
      </c>
      <c r="H4" s="184" t="s">
        <v>252</v>
      </c>
      <c r="I4" s="184" t="s">
        <v>412</v>
      </c>
    </row>
    <row r="5" spans="1:10" s="201" customFormat="1" ht="10.5">
      <c r="A5" s="182"/>
      <c r="B5" s="195"/>
      <c r="C5" s="199" t="s">
        <v>208</v>
      </c>
      <c r="D5" s="199" t="s">
        <v>209</v>
      </c>
      <c r="E5" s="199" t="s">
        <v>246</v>
      </c>
      <c r="F5" s="199" t="s">
        <v>211</v>
      </c>
      <c r="G5" s="199" t="s">
        <v>247</v>
      </c>
      <c r="H5" s="199" t="s">
        <v>248</v>
      </c>
      <c r="I5" s="199" t="s">
        <v>413</v>
      </c>
      <c r="J5" s="200"/>
    </row>
    <row r="6" spans="1:9" ht="12.75">
      <c r="A6" s="137" t="str">
        <f>'t1'!A6</f>
        <v>DIRIGENTE SCOLASTICO</v>
      </c>
      <c r="B6" s="326" t="str">
        <f>'t1'!B6</f>
        <v>0D0158</v>
      </c>
      <c r="C6" s="350">
        <f>'t12'!C6</f>
        <v>0</v>
      </c>
      <c r="D6" s="351">
        <f>'t12'!D6</f>
        <v>0</v>
      </c>
      <c r="E6" s="352" t="str">
        <f>IF(C6=0," ",D6/C6*12)</f>
        <v> </v>
      </c>
      <c r="F6" s="372">
        <v>39979.29</v>
      </c>
      <c r="G6" s="352" t="str">
        <f aca="true" t="shared" si="0" ref="G6:G30">IF(E6=" "," ",E6-F6)</f>
        <v> </v>
      </c>
      <c r="H6" s="353" t="str">
        <f aca="true" t="shared" si="1" ref="H6:H30">IF(E6=" "," ",IF(F6=0," ",G6/F6))</f>
        <v> </v>
      </c>
      <c r="I6" s="331" t="str">
        <f>IF(E6=" "," ",IF(F6=0," ",IF(ABS(H6)&gt;0.02,"ERRORE","OK")))</f>
        <v> </v>
      </c>
    </row>
    <row r="7" spans="1:9" ht="12.75">
      <c r="A7" s="137" t="str">
        <f>'t1'!A7</f>
        <v>PROFESSORI DI PRIMA FASCIA</v>
      </c>
      <c r="B7" s="326" t="str">
        <f>'t1'!B7</f>
        <v>018P01</v>
      </c>
      <c r="C7" s="350">
        <f>'t12'!C7</f>
        <v>0</v>
      </c>
      <c r="D7" s="351">
        <f>'t12'!D7</f>
        <v>0</v>
      </c>
      <c r="E7" s="352" t="str">
        <f aca="true" t="shared" si="2" ref="E7:E30">IF(C7=0," ",D7/C7*12)</f>
        <v> </v>
      </c>
      <c r="F7" s="372">
        <v>25214.28</v>
      </c>
      <c r="G7" s="352" t="str">
        <f t="shared" si="0"/>
        <v> </v>
      </c>
      <c r="H7" s="353" t="str">
        <f t="shared" si="1"/>
        <v> </v>
      </c>
      <c r="I7" s="331" t="str">
        <f aca="true" t="shared" si="3" ref="I7:I30">IF(E7=" "," ",IF(F7=0," ",IF(ABS(H7)&gt;0.02,"ERRORE","OK")))</f>
        <v> </v>
      </c>
    </row>
    <row r="8" spans="1:9" ht="12.75">
      <c r="A8" s="137" t="str">
        <f>'t1'!A8</f>
        <v>PROFESSORI DI SECONDA FASCIA</v>
      </c>
      <c r="B8" s="326" t="str">
        <f>'t1'!B8</f>
        <v>016P02</v>
      </c>
      <c r="C8" s="350">
        <f>'t12'!C8</f>
        <v>0</v>
      </c>
      <c r="D8" s="351">
        <f>'t12'!D8</f>
        <v>0</v>
      </c>
      <c r="E8" s="352" t="str">
        <f t="shared" si="2"/>
        <v> </v>
      </c>
      <c r="F8" s="372">
        <v>20859.02</v>
      </c>
      <c r="G8" s="352" t="str">
        <f t="shared" si="0"/>
        <v> </v>
      </c>
      <c r="H8" s="353" t="str">
        <f t="shared" si="1"/>
        <v> </v>
      </c>
      <c r="I8" s="331" t="str">
        <f t="shared" si="3"/>
        <v> </v>
      </c>
    </row>
    <row r="9" spans="1:9" ht="12.75">
      <c r="A9" s="137" t="str">
        <f>'t1'!A9</f>
        <v>DIRETTORE AMMINISTRATIVO EP2</v>
      </c>
      <c r="B9" s="326" t="str">
        <f>'t1'!B9</f>
        <v>013504</v>
      </c>
      <c r="C9" s="350">
        <f>'t12'!C9</f>
        <v>0</v>
      </c>
      <c r="D9" s="351">
        <f>'t12'!D9</f>
        <v>0</v>
      </c>
      <c r="E9" s="352" t="str">
        <f t="shared" si="2"/>
        <v> </v>
      </c>
      <c r="F9" s="372">
        <v>25214.28</v>
      </c>
      <c r="G9" s="352" t="str">
        <f t="shared" si="0"/>
        <v> </v>
      </c>
      <c r="H9" s="353" t="str">
        <f t="shared" si="1"/>
        <v> </v>
      </c>
      <c r="I9" s="331" t="str">
        <f t="shared" si="3"/>
        <v> </v>
      </c>
    </row>
    <row r="10" spans="1:9" ht="12.75">
      <c r="A10" s="137" t="str">
        <f>'t1'!A10</f>
        <v>DIRETTORE DELL UFFICIO DI RAGIONERIA (EP1)</v>
      </c>
      <c r="B10" s="326" t="str">
        <f>'t1'!B10</f>
        <v>013159</v>
      </c>
      <c r="C10" s="350">
        <f>'t12'!C10</f>
        <v>0</v>
      </c>
      <c r="D10" s="351">
        <f>'t12'!D10</f>
        <v>0</v>
      </c>
      <c r="E10" s="352" t="str">
        <f t="shared" si="2"/>
        <v> </v>
      </c>
      <c r="F10" s="372">
        <v>22152.4</v>
      </c>
      <c r="G10" s="352" t="str">
        <f t="shared" si="0"/>
        <v> </v>
      </c>
      <c r="H10" s="353" t="str">
        <f t="shared" si="1"/>
        <v> </v>
      </c>
      <c r="I10" s="331" t="str">
        <f t="shared" si="3"/>
        <v> </v>
      </c>
    </row>
    <row r="11" spans="1:9" ht="12.75">
      <c r="A11" s="137" t="str">
        <f>'t1'!A11</f>
        <v>COORDINATORE DI BIBLIOTECA TECNICO E AMMINISTRATIVO(D)</v>
      </c>
      <c r="B11" s="326" t="str">
        <f>'t1'!B11</f>
        <v>013DTE</v>
      </c>
      <c r="C11" s="350">
        <f>'t12'!C11</f>
        <v>0</v>
      </c>
      <c r="D11" s="351">
        <f>'t12'!D11</f>
        <v>0</v>
      </c>
      <c r="E11" s="352" t="str">
        <f t="shared" si="2"/>
        <v> </v>
      </c>
      <c r="F11" s="372">
        <v>19157.94</v>
      </c>
      <c r="G11" s="352" t="str">
        <f t="shared" si="0"/>
        <v> </v>
      </c>
      <c r="H11" s="353" t="str">
        <f t="shared" si="1"/>
        <v> </v>
      </c>
      <c r="I11" s="331" t="str">
        <f t="shared" si="3"/>
        <v> </v>
      </c>
    </row>
    <row r="12" spans="1:9" ht="12.75">
      <c r="A12" s="137" t="str">
        <f>'t1'!A12</f>
        <v>COLLABORATORE TEC. AMMIN. DI BIBLIOT. E DI LAB. (C)</v>
      </c>
      <c r="B12" s="326" t="str">
        <f>'t1'!B12</f>
        <v>013CTE</v>
      </c>
      <c r="C12" s="350">
        <f>'t12'!C12</f>
        <v>0</v>
      </c>
      <c r="D12" s="351">
        <f>'t12'!D12</f>
        <v>0</v>
      </c>
      <c r="E12" s="352" t="str">
        <f t="shared" si="2"/>
        <v> </v>
      </c>
      <c r="F12" s="372">
        <v>17949.31</v>
      </c>
      <c r="G12" s="352" t="str">
        <f t="shared" si="0"/>
        <v> </v>
      </c>
      <c r="H12" s="353" t="str">
        <f t="shared" si="1"/>
        <v> </v>
      </c>
      <c r="I12" s="331" t="str">
        <f t="shared" si="3"/>
        <v> </v>
      </c>
    </row>
    <row r="13" spans="1:9" ht="12.75">
      <c r="A13" s="137" t="str">
        <f>'t1'!A13</f>
        <v>ASSISTENTE AMMINISTRATIVO (B)</v>
      </c>
      <c r="B13" s="326" t="str">
        <f>'t1'!B13</f>
        <v>012117</v>
      </c>
      <c r="C13" s="350">
        <f>'t12'!C13</f>
        <v>0</v>
      </c>
      <c r="D13" s="351">
        <f>'t12'!D13</f>
        <v>0</v>
      </c>
      <c r="E13" s="352" t="str">
        <f t="shared" si="2"/>
        <v> </v>
      </c>
      <c r="F13" s="372">
        <v>16756.15</v>
      </c>
      <c r="G13" s="352" t="str">
        <f t="shared" si="0"/>
        <v> </v>
      </c>
      <c r="H13" s="353" t="str">
        <f t="shared" si="1"/>
        <v> </v>
      </c>
      <c r="I13" s="331" t="str">
        <f t="shared" si="3"/>
        <v> </v>
      </c>
    </row>
    <row r="14" spans="1:9" ht="12.75">
      <c r="A14" s="137" t="str">
        <f>'t1'!A14</f>
        <v>COADIUTORE (A)</v>
      </c>
      <c r="B14" s="326" t="str">
        <f>'t1'!B14</f>
        <v>011121</v>
      </c>
      <c r="C14" s="350">
        <f>'t12'!C14</f>
        <v>0</v>
      </c>
      <c r="D14" s="351">
        <f>'t12'!D14</f>
        <v>0</v>
      </c>
      <c r="E14" s="352" t="str">
        <f t="shared" si="2"/>
        <v> </v>
      </c>
      <c r="F14" s="372">
        <v>14957.55</v>
      </c>
      <c r="G14" s="352" t="str">
        <f t="shared" si="0"/>
        <v> </v>
      </c>
      <c r="H14" s="353" t="str">
        <f t="shared" si="1"/>
        <v> </v>
      </c>
      <c r="I14" s="331" t="str">
        <f t="shared" si="3"/>
        <v> </v>
      </c>
    </row>
    <row r="15" spans="1:9" ht="12.75">
      <c r="A15" s="137" t="str">
        <f>'t1'!A15</f>
        <v>PROFESSORI DI PRIMA FASCIA TEMPO DET.ANNUALE</v>
      </c>
      <c r="B15" s="326" t="str">
        <f>'t1'!B15</f>
        <v>018PD1</v>
      </c>
      <c r="C15" s="350">
        <f>'t12'!C15</f>
        <v>0</v>
      </c>
      <c r="D15" s="351">
        <f>'t12'!D15</f>
        <v>0</v>
      </c>
      <c r="E15" s="352" t="str">
        <f t="shared" si="2"/>
        <v> </v>
      </c>
      <c r="F15" s="372">
        <v>25214.28</v>
      </c>
      <c r="G15" s="352" t="str">
        <f t="shared" si="0"/>
        <v> </v>
      </c>
      <c r="H15" s="353" t="str">
        <f t="shared" si="1"/>
        <v> </v>
      </c>
      <c r="I15" s="331" t="str">
        <f t="shared" si="3"/>
        <v> </v>
      </c>
    </row>
    <row r="16" spans="1:9" ht="12.75">
      <c r="A16" s="137" t="str">
        <f>'t1'!A16</f>
        <v>PROFESSORI DI SECONDA FASCIA TEMPO DET.ANNUALE</v>
      </c>
      <c r="B16" s="326" t="str">
        <f>'t1'!B16</f>
        <v>016PD2</v>
      </c>
      <c r="C16" s="350">
        <f>'t12'!C16</f>
        <v>0</v>
      </c>
      <c r="D16" s="351">
        <f>'t12'!D16</f>
        <v>0</v>
      </c>
      <c r="E16" s="352" t="str">
        <f t="shared" si="2"/>
        <v> </v>
      </c>
      <c r="F16" s="372">
        <v>20859.02</v>
      </c>
      <c r="G16" s="352" t="str">
        <f t="shared" si="0"/>
        <v> </v>
      </c>
      <c r="H16" s="353" t="str">
        <f t="shared" si="1"/>
        <v> </v>
      </c>
      <c r="I16" s="331" t="str">
        <f t="shared" si="3"/>
        <v> </v>
      </c>
    </row>
    <row r="17" spans="1:9" ht="12.75">
      <c r="A17" s="137" t="str">
        <f>'t1'!A17</f>
        <v>PROFESSORI DI PRIMA FASCIA T. DET. TERMINE ATTIV DIDATT</v>
      </c>
      <c r="B17" s="326" t="str">
        <f>'t1'!B17</f>
        <v>018DD1</v>
      </c>
      <c r="C17" s="350">
        <f>'t12'!C17</f>
        <v>0</v>
      </c>
      <c r="D17" s="351">
        <f>'t12'!D17</f>
        <v>0</v>
      </c>
      <c r="E17" s="352" t="str">
        <f t="shared" si="2"/>
        <v> </v>
      </c>
      <c r="F17" s="372">
        <v>25214.28</v>
      </c>
      <c r="G17" s="352" t="str">
        <f t="shared" si="0"/>
        <v> </v>
      </c>
      <c r="H17" s="353" t="str">
        <f t="shared" si="1"/>
        <v> </v>
      </c>
      <c r="I17" s="331" t="str">
        <f t="shared" si="3"/>
        <v> </v>
      </c>
    </row>
    <row r="18" spans="1:9" ht="12.75">
      <c r="A18" s="137" t="str">
        <f>'t1'!A18</f>
        <v>PROFESSORI DI SECONDA FASCIA T. DET. TERMINE ATTIV DIDATT</v>
      </c>
      <c r="B18" s="326" t="str">
        <f>'t1'!B18</f>
        <v>016DD2</v>
      </c>
      <c r="C18" s="350">
        <f>'t12'!C18</f>
        <v>0</v>
      </c>
      <c r="D18" s="351">
        <f>'t12'!D18</f>
        <v>0</v>
      </c>
      <c r="E18" s="352" t="str">
        <f t="shared" si="2"/>
        <v> </v>
      </c>
      <c r="F18" s="372">
        <v>20859.02</v>
      </c>
      <c r="G18" s="352" t="str">
        <f t="shared" si="0"/>
        <v> </v>
      </c>
      <c r="H18" s="353" t="str">
        <f t="shared" si="1"/>
        <v> </v>
      </c>
      <c r="I18" s="331" t="str">
        <f t="shared" si="3"/>
        <v> </v>
      </c>
    </row>
    <row r="19" spans="1:9" ht="12.75">
      <c r="A19" s="137" t="str">
        <f>'t1'!A19</f>
        <v>DIRETTORE AMMINISTRATIVO TEMPO DET.ANNUALE (EP2)</v>
      </c>
      <c r="B19" s="326" t="str">
        <f>'t1'!B19</f>
        <v>013EP2</v>
      </c>
      <c r="C19" s="350">
        <f>'t12'!C19</f>
        <v>0</v>
      </c>
      <c r="D19" s="351">
        <f>'t12'!D19</f>
        <v>0</v>
      </c>
      <c r="E19" s="352" t="str">
        <f t="shared" si="2"/>
        <v> </v>
      </c>
      <c r="F19" s="372">
        <v>25214.28</v>
      </c>
      <c r="G19" s="352" t="str">
        <f t="shared" si="0"/>
        <v> </v>
      </c>
      <c r="H19" s="353" t="str">
        <f t="shared" si="1"/>
        <v> </v>
      </c>
      <c r="I19" s="331" t="str">
        <f t="shared" si="3"/>
        <v> </v>
      </c>
    </row>
    <row r="20" spans="1:9" ht="12.75">
      <c r="A20" s="137" t="str">
        <f>'t1'!A20</f>
        <v>DIRETTORE DELL UFFICIO DI RAGIONERIA TEMPO DET.ANNUALE (EP1)</v>
      </c>
      <c r="B20" s="326" t="str">
        <f>'t1'!B20</f>
        <v>013160</v>
      </c>
      <c r="C20" s="350">
        <f>'t12'!C20</f>
        <v>0</v>
      </c>
      <c r="D20" s="351">
        <f>'t12'!D20</f>
        <v>0</v>
      </c>
      <c r="E20" s="352" t="str">
        <f t="shared" si="2"/>
        <v> </v>
      </c>
      <c r="F20" s="372">
        <v>22152.4</v>
      </c>
      <c r="G20" s="352" t="str">
        <f t="shared" si="0"/>
        <v> </v>
      </c>
      <c r="H20" s="353" t="str">
        <f t="shared" si="1"/>
        <v> </v>
      </c>
      <c r="I20" s="331" t="str">
        <f t="shared" si="3"/>
        <v> </v>
      </c>
    </row>
    <row r="21" spans="1:9" ht="12.75">
      <c r="A21" s="137" t="str">
        <f>'t1'!A21</f>
        <v>DIRETTORE AMMINISTRATIVO T. DET. TERMINE ATTIV DIDATT(EP2)</v>
      </c>
      <c r="B21" s="326" t="str">
        <f>'t1'!B21</f>
        <v>013E2N</v>
      </c>
      <c r="C21" s="350">
        <f>'t12'!C21</f>
        <v>0</v>
      </c>
      <c r="D21" s="351">
        <f>'t12'!D21</f>
        <v>0</v>
      </c>
      <c r="E21" s="352" t="str">
        <f t="shared" si="2"/>
        <v> </v>
      </c>
      <c r="F21" s="372">
        <v>25214.28</v>
      </c>
      <c r="G21" s="352" t="str">
        <f t="shared" si="0"/>
        <v> </v>
      </c>
      <c r="H21" s="353" t="str">
        <f t="shared" si="1"/>
        <v> </v>
      </c>
      <c r="I21" s="331" t="str">
        <f t="shared" si="3"/>
        <v> </v>
      </c>
    </row>
    <row r="22" spans="1:9" ht="12.75">
      <c r="A22" s="137" t="str">
        <f>'t1'!A22</f>
        <v>DIRETTORE UFF. RAGIONERIA T. DET. TERM. ATTIV DIDATT(EP1)</v>
      </c>
      <c r="B22" s="326" t="str">
        <f>'t1'!B22</f>
        <v>013E1N</v>
      </c>
      <c r="C22" s="350">
        <f>'t12'!C22</f>
        <v>0</v>
      </c>
      <c r="D22" s="351">
        <f>'t12'!D22</f>
        <v>0</v>
      </c>
      <c r="E22" s="352" t="str">
        <f t="shared" si="2"/>
        <v> </v>
      </c>
      <c r="F22" s="372">
        <v>22152.4</v>
      </c>
      <c r="G22" s="352" t="str">
        <f t="shared" si="0"/>
        <v> </v>
      </c>
      <c r="H22" s="353" t="str">
        <f t="shared" si="1"/>
        <v> </v>
      </c>
      <c r="I22" s="331" t="str">
        <f t="shared" si="3"/>
        <v> </v>
      </c>
    </row>
    <row r="23" spans="1:9" ht="12.75">
      <c r="A23" s="137" t="str">
        <f>'t1'!A23</f>
        <v>COORD. DI BIBLIOT., COORD. TEC. E AMM. TEMPO DET.ANNUALE</v>
      </c>
      <c r="B23" s="326" t="str">
        <f>'t1'!B23</f>
        <v>013DDE</v>
      </c>
      <c r="C23" s="350">
        <f>'t12'!C23</f>
        <v>0</v>
      </c>
      <c r="D23" s="351">
        <f>'t12'!D23</f>
        <v>0</v>
      </c>
      <c r="E23" s="352" t="str">
        <f t="shared" si="2"/>
        <v> </v>
      </c>
      <c r="F23" s="372">
        <v>19157.94</v>
      </c>
      <c r="G23" s="352" t="str">
        <f t="shared" si="0"/>
        <v> </v>
      </c>
      <c r="H23" s="353" t="str">
        <f t="shared" si="1"/>
        <v> </v>
      </c>
      <c r="I23" s="331" t="str">
        <f t="shared" si="3"/>
        <v> </v>
      </c>
    </row>
    <row r="24" spans="1:9" ht="12.75">
      <c r="A24" s="137" t="str">
        <f>'t1'!A24</f>
        <v>COLLAB. TEC. AMMIN. DI BIBLIOT. E DI LAB. TEMPO DET.ANNUALE</v>
      </c>
      <c r="B24" s="326" t="str">
        <f>'t1'!B24</f>
        <v>013CDE</v>
      </c>
      <c r="C24" s="350">
        <f>'t12'!C24</f>
        <v>0</v>
      </c>
      <c r="D24" s="351">
        <f>'t12'!D24</f>
        <v>0</v>
      </c>
      <c r="E24" s="352" t="str">
        <f t="shared" si="2"/>
        <v> </v>
      </c>
      <c r="F24" s="372">
        <v>17949.31</v>
      </c>
      <c r="G24" s="352" t="str">
        <f t="shared" si="0"/>
        <v> </v>
      </c>
      <c r="H24" s="353" t="str">
        <f t="shared" si="1"/>
        <v> </v>
      </c>
      <c r="I24" s="331" t="str">
        <f t="shared" si="3"/>
        <v> </v>
      </c>
    </row>
    <row r="25" spans="1:9" ht="12.75">
      <c r="A25" s="137" t="str">
        <f>'t1'!A25</f>
        <v>ASSIST. AMMINISTRATIVO TEMPO DET.ANNUALE</v>
      </c>
      <c r="B25" s="326" t="str">
        <f>'t1'!B25</f>
        <v>012118</v>
      </c>
      <c r="C25" s="350">
        <f>'t12'!C25</f>
        <v>0</v>
      </c>
      <c r="D25" s="351">
        <f>'t12'!D25</f>
        <v>0</v>
      </c>
      <c r="E25" s="352" t="str">
        <f t="shared" si="2"/>
        <v> </v>
      </c>
      <c r="F25" s="372">
        <v>16756.15</v>
      </c>
      <c r="G25" s="352" t="str">
        <f t="shared" si="0"/>
        <v> </v>
      </c>
      <c r="H25" s="353" t="str">
        <f t="shared" si="1"/>
        <v> </v>
      </c>
      <c r="I25" s="331" t="str">
        <f t="shared" si="3"/>
        <v> </v>
      </c>
    </row>
    <row r="26" spans="1:9" ht="12.75">
      <c r="A26" s="137" t="str">
        <f>'t1'!A26</f>
        <v>COADIUTORE TEMPO DET.ANNUALE</v>
      </c>
      <c r="B26" s="326" t="str">
        <f>'t1'!B26</f>
        <v>011124</v>
      </c>
      <c r="C26" s="350">
        <f>'t12'!C26</f>
        <v>0</v>
      </c>
      <c r="D26" s="351">
        <f>'t12'!D26</f>
        <v>0</v>
      </c>
      <c r="E26" s="352" t="str">
        <f t="shared" si="2"/>
        <v> </v>
      </c>
      <c r="F26" s="372">
        <v>14957.55</v>
      </c>
      <c r="G26" s="352" t="str">
        <f t="shared" si="0"/>
        <v> </v>
      </c>
      <c r="H26" s="353" t="str">
        <f t="shared" si="1"/>
        <v> </v>
      </c>
      <c r="I26" s="331" t="str">
        <f t="shared" si="3"/>
        <v> </v>
      </c>
    </row>
    <row r="27" spans="1:9" ht="12.75">
      <c r="A27" s="137" t="str">
        <f>'t1'!A27</f>
        <v>COORD. BIBL., COORD. TEC. E AMM. T. DET. TERM. ATTIV DIDATT</v>
      </c>
      <c r="B27" s="326" t="str">
        <f>'t1'!B27</f>
        <v>013DDN</v>
      </c>
      <c r="C27" s="350">
        <f>'t12'!C27</f>
        <v>0</v>
      </c>
      <c r="D27" s="351">
        <f>'t12'!D27</f>
        <v>0</v>
      </c>
      <c r="E27" s="352" t="str">
        <f t="shared" si="2"/>
        <v> </v>
      </c>
      <c r="F27" s="372">
        <v>19157.94</v>
      </c>
      <c r="G27" s="352" t="str">
        <f t="shared" si="0"/>
        <v> </v>
      </c>
      <c r="H27" s="353" t="str">
        <f t="shared" si="1"/>
        <v> </v>
      </c>
      <c r="I27" s="331" t="str">
        <f t="shared" si="3"/>
        <v> </v>
      </c>
    </row>
    <row r="28" spans="1:9" ht="12.75">
      <c r="A28" s="137" t="str">
        <f>'t1'!A28</f>
        <v>COLLAB. TEC. AMM. BIBL. E DI LAB. T. D. TERM. ATTIV DIDATT</v>
      </c>
      <c r="B28" s="326" t="str">
        <f>'t1'!B28</f>
        <v>013CDN</v>
      </c>
      <c r="C28" s="350">
        <f>'t12'!C28</f>
        <v>0</v>
      </c>
      <c r="D28" s="351">
        <f>'t12'!D28</f>
        <v>0</v>
      </c>
      <c r="E28" s="352" t="str">
        <f t="shared" si="2"/>
        <v> </v>
      </c>
      <c r="F28" s="372">
        <v>17949.31</v>
      </c>
      <c r="G28" s="352" t="str">
        <f t="shared" si="0"/>
        <v> </v>
      </c>
      <c r="H28" s="353" t="str">
        <f t="shared" si="1"/>
        <v> </v>
      </c>
      <c r="I28" s="331" t="str">
        <f t="shared" si="3"/>
        <v> </v>
      </c>
    </row>
    <row r="29" spans="1:9" ht="12.75">
      <c r="A29" s="137" t="str">
        <f>'t1'!A29</f>
        <v>ASSISTENTE AMMINISTRATIVO TEM.DET. TERMINE ATTIV DIDATT</v>
      </c>
      <c r="B29" s="326" t="str">
        <f>'t1'!B29</f>
        <v>016509</v>
      </c>
      <c r="C29" s="350">
        <f>'t12'!C29</f>
        <v>0</v>
      </c>
      <c r="D29" s="351">
        <f>'t12'!D29</f>
        <v>0</v>
      </c>
      <c r="E29" s="352" t="str">
        <f t="shared" si="2"/>
        <v> </v>
      </c>
      <c r="F29" s="372">
        <v>16756.15</v>
      </c>
      <c r="G29" s="352" t="str">
        <f t="shared" si="0"/>
        <v> </v>
      </c>
      <c r="H29" s="353" t="str">
        <f t="shared" si="1"/>
        <v> </v>
      </c>
      <c r="I29" s="331" t="str">
        <f t="shared" si="3"/>
        <v> </v>
      </c>
    </row>
    <row r="30" spans="1:9" ht="12.75">
      <c r="A30" s="137" t="str">
        <f>'t1'!A30</f>
        <v>COADIUTORE TEMPO DET. TERMINE ATTIV DIDATT</v>
      </c>
      <c r="B30" s="326" t="str">
        <f>'t1'!B30</f>
        <v>011CNA</v>
      </c>
      <c r="C30" s="350">
        <f>'t12'!C30</f>
        <v>0</v>
      </c>
      <c r="D30" s="351">
        <f>'t12'!D30</f>
        <v>0</v>
      </c>
      <c r="E30" s="352" t="str">
        <f t="shared" si="2"/>
        <v> </v>
      </c>
      <c r="F30" s="372">
        <v>14957.55</v>
      </c>
      <c r="G30" s="352" t="str">
        <f t="shared" si="0"/>
        <v> </v>
      </c>
      <c r="H30" s="353" t="str">
        <f t="shared" si="1"/>
        <v> </v>
      </c>
      <c r="I30" s="331" t="str">
        <f t="shared" si="3"/>
        <v> </v>
      </c>
    </row>
  </sheetData>
  <sheetProtection password="EA98" sheet="1" formatColumns="0" selectLockedCells="1" selectUnlockedCells="1"/>
  <mergeCells count="2">
    <mergeCell ref="A1:H1"/>
    <mergeCell ref="D2:I2"/>
  </mergeCells>
  <printOptions horizontalCentered="1" verticalCentered="1"/>
  <pageMargins left="0.1968503937007874" right="0.1968503937007874" top="0.1968503937007874" bottom="0.15748031496062992" header="0.15748031496062992" footer="0.1574803149606299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40"/>
  <dimension ref="A1:M20"/>
  <sheetViews>
    <sheetView showGridLines="0" zoomScalePageLayoutView="0" workbookViewId="0" topLeftCell="A13">
      <selection activeCell="B2" sqref="B2"/>
    </sheetView>
  </sheetViews>
  <sheetFormatPr defaultColWidth="9.33203125" defaultRowHeight="10.5"/>
  <cols>
    <col min="1" max="1" width="78.83203125" style="5" customWidth="1"/>
    <col min="2" max="3" width="19.83203125" style="5" customWidth="1"/>
    <col min="4" max="4" width="26.83203125" style="5" customWidth="1"/>
    <col min="5" max="5" width="25.16015625" style="5" customWidth="1"/>
    <col min="6" max="16384" width="9.33203125" style="5" customWidth="1"/>
  </cols>
  <sheetData>
    <row r="1" spans="1:13" ht="33.75" customHeight="1">
      <c r="A1" s="1155" t="str">
        <f>'t1'!A1</f>
        <v>COMPARTO AFAM - anno 2016</v>
      </c>
      <c r="B1" s="1155"/>
      <c r="C1" s="1155"/>
      <c r="D1" s="1155"/>
      <c r="E1" s="767"/>
      <c r="F1" s="323"/>
      <c r="G1" s="323"/>
      <c r="H1" s="323"/>
      <c r="I1" s="323"/>
      <c r="K1" s="3"/>
      <c r="M1"/>
    </row>
    <row r="2" spans="1:13" ht="16.5" thickBot="1">
      <c r="A2" s="991" t="s">
        <v>720</v>
      </c>
      <c r="B2" s="992"/>
      <c r="C2" s="992"/>
      <c r="D2" s="992"/>
      <c r="E2" s="324"/>
      <c r="F2" s="324"/>
      <c r="G2" s="324"/>
      <c r="H2" s="324"/>
      <c r="I2" s="324"/>
      <c r="K2" s="3"/>
      <c r="M2"/>
    </row>
    <row r="3" spans="1:5" ht="33" customHeight="1" thickBot="1">
      <c r="A3" s="1254" t="s">
        <v>721</v>
      </c>
      <c r="B3" s="1255"/>
      <c r="C3" s="1255"/>
      <c r="D3" s="1256"/>
      <c r="E3" s="784"/>
    </row>
    <row r="4" spans="1:4" s="198" customFormat="1" ht="32.25" thickBot="1">
      <c r="A4" s="700" t="s">
        <v>577</v>
      </c>
      <c r="B4" s="701" t="s">
        <v>578</v>
      </c>
      <c r="C4" s="701" t="s">
        <v>579</v>
      </c>
      <c r="D4" s="702" t="s">
        <v>580</v>
      </c>
    </row>
    <row r="5" spans="1:4" ht="39" customHeight="1">
      <c r="A5" s="785" t="str">
        <f>SI_1!B85</f>
        <v>Indicare il numero delle unita rilevate in tabella 1 tra i "presenti al 31.12" che appartengono alle categorie protette (Legge n.68/99).</v>
      </c>
      <c r="B5" s="786">
        <f>SI_1!G85</f>
        <v>0</v>
      </c>
      <c r="C5" s="786">
        <f>'t1'!L31+'t1'!M31</f>
        <v>61</v>
      </c>
      <c r="D5" s="999" t="str">
        <f>IF(B5&lt;=C5,"OK","Dati incoerenti: controllare i valori")</f>
        <v>OK</v>
      </c>
    </row>
    <row r="6" spans="1:4" ht="39" customHeight="1">
      <c r="A6" s="787" t="str">
        <f>SI_1!B106</f>
        <v>Indicare il numero delle unita rilevate in tabella 1 tra i "presenti al 31.12" che risultavano titolari di permessi per legge n. 104/92.</v>
      </c>
      <c r="B6" s="788">
        <f>SI_1!G106</f>
        <v>3</v>
      </c>
      <c r="C6" s="788">
        <f>'t1'!L31+'t1'!M31</f>
        <v>61</v>
      </c>
      <c r="D6" s="998" t="str">
        <f>IF(B6&lt;=C6,"OK","Dati incoerenti: controllare i valori")</f>
        <v>OK</v>
      </c>
    </row>
    <row r="7" spans="1:4" ht="39" customHeight="1" thickBot="1">
      <c r="A7" s="789" t="str">
        <f>SI_1!B109</f>
        <v>Indicare il numero delle unita rilevate in tabella 1 tra i "presenti al 31.12" che risultavano titolari di permessi ai sensi dell'art. 42, c.5 D.lgs.151/2001.</v>
      </c>
      <c r="B7" s="790">
        <f>SI_1!G109</f>
        <v>0</v>
      </c>
      <c r="C7" s="790">
        <f>'t1'!L31+'t1'!M31</f>
        <v>61</v>
      </c>
      <c r="D7" s="997" t="str">
        <f>IF(B7&lt;=C7,"OK","Dati incoerenti: controllare i valori")</f>
        <v>OK</v>
      </c>
    </row>
    <row r="10" spans="1:13" ht="16.5" thickBot="1">
      <c r="A10" s="993" t="s">
        <v>722</v>
      </c>
      <c r="B10" s="992"/>
      <c r="C10" s="992"/>
      <c r="D10" s="992"/>
      <c r="E10" s="324"/>
      <c r="F10" s="324"/>
      <c r="G10" s="324"/>
      <c r="H10" s="324"/>
      <c r="I10" s="324"/>
      <c r="K10" s="3"/>
      <c r="M10"/>
    </row>
    <row r="11" spans="1:5" ht="32.25" customHeight="1" thickBot="1">
      <c r="A11" s="1254" t="s">
        <v>723</v>
      </c>
      <c r="B11" s="1255"/>
      <c r="C11" s="1255"/>
      <c r="D11" s="1256"/>
      <c r="E11" s="784"/>
    </row>
    <row r="12" spans="1:4" s="198" customFormat="1" ht="21.75" thickBot="1">
      <c r="A12" s="791" t="s">
        <v>577</v>
      </c>
      <c r="B12" s="792" t="s">
        <v>578</v>
      </c>
      <c r="C12" s="792" t="s">
        <v>581</v>
      </c>
      <c r="D12" s="793" t="s">
        <v>582</v>
      </c>
    </row>
    <row r="13" spans="1:4" ht="39" customHeight="1">
      <c r="A13" s="794" t="str">
        <f>SI_1!B106</f>
        <v>Indicare il numero delle unita rilevate in tabella 1 tra i "presenti al 31.12" che risultavano titolari di permessi per legge n. 104/92.</v>
      </c>
      <c r="B13" s="788">
        <f>SI_1!G106</f>
        <v>3</v>
      </c>
      <c r="C13" s="795">
        <f>'t11'!I33+'t11'!J33</f>
        <v>54</v>
      </c>
      <c r="D13" s="995" t="str">
        <f>(IF(AND(C13=0,B13&gt;0),"Mancano le assenze per questa causale",IF(AND(C13&gt;0,B13=0),"Dichiarare Unita nella domanda della Scheda Informativa 1","OK")))</f>
        <v>OK</v>
      </c>
    </row>
    <row r="14" spans="1:4" ht="39" customHeight="1" thickBot="1">
      <c r="A14" s="796" t="str">
        <f>SI_1!B109</f>
        <v>Indicare il numero delle unita rilevate in tabella 1 tra i "presenti al 31.12" che risultavano titolari di permessi ai sensi dell'art. 42, c.5 D.lgs.151/2001.</v>
      </c>
      <c r="B14" s="790">
        <f>SI_1!G109</f>
        <v>0</v>
      </c>
      <c r="C14" s="797">
        <f>'t11'!G33+'t11'!H33</f>
        <v>0</v>
      </c>
      <c r="D14" s="996" t="str">
        <f>(IF(AND(C14=0,B14&gt;0),"Mancano le assenze per questa causale",IF(AND(C14&gt;0,B14=0),"Dichiarare Unita nella domanda della Scheda Informativa 1","OK")))</f>
        <v>OK</v>
      </c>
    </row>
    <row r="17" spans="1:13" ht="12.75" customHeight="1" thickBot="1">
      <c r="A17" s="994" t="s">
        <v>724</v>
      </c>
      <c r="B17" s="992"/>
      <c r="C17" s="992"/>
      <c r="D17" s="992"/>
      <c r="E17" s="324"/>
      <c r="F17" s="324"/>
      <c r="G17" s="324"/>
      <c r="H17" s="324"/>
      <c r="I17" s="324"/>
      <c r="K17" s="3"/>
      <c r="M17"/>
    </row>
    <row r="18" spans="1:5" ht="30.75" customHeight="1" thickBot="1">
      <c r="A18" s="1254" t="s">
        <v>725</v>
      </c>
      <c r="B18" s="1255"/>
      <c r="C18" s="1255"/>
      <c r="D18" s="1256"/>
      <c r="E18" s="784"/>
    </row>
    <row r="19" spans="1:4" ht="21.75" thickBot="1">
      <c r="A19" s="791" t="s">
        <v>577</v>
      </c>
      <c r="B19" s="792" t="s">
        <v>691</v>
      </c>
      <c r="C19" s="792" t="s">
        <v>581</v>
      </c>
      <c r="D19" s="793" t="s">
        <v>582</v>
      </c>
    </row>
    <row r="20" spans="1:4" ht="37.5" customHeight="1" thickBot="1">
      <c r="A20" s="796" t="s">
        <v>565</v>
      </c>
      <c r="B20" s="970">
        <f>SI_1!G82</f>
        <v>0</v>
      </c>
      <c r="C20" s="795">
        <f>'t11'!E33+'t11'!F33</f>
        <v>296</v>
      </c>
      <c r="D20" s="995" t="str">
        <f>(IF(AND(C20=0,B20&gt;0),"Mancano le assenze per questa causale",IF(AND(C20&gt;0,B20=0),"Dichiarare Somme nella domanda della Scheda Informativa 1","OK")))</f>
        <v>Dichiarare Somme nella domanda della Scheda Informativa 1</v>
      </c>
    </row>
  </sheetData>
  <sheetProtection password="EA98" sheet="1" formatColumns="0" selectLockedCells="1" selectUnlockedCells="1"/>
  <mergeCells count="4">
    <mergeCell ref="A1:D1"/>
    <mergeCell ref="A3:D3"/>
    <mergeCell ref="A11:D11"/>
    <mergeCell ref="A18:D18"/>
  </mergeCells>
  <conditionalFormatting sqref="D20 D13:D14 D5:D7">
    <cfRule type="notContainsText" priority="1" dxfId="28" operator="notContains" stopIfTrue="1" text="ok">
      <formula>ISERROR(SEARCH("ok",D5))</formula>
    </cfRule>
  </conditionalFormatting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7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N31"/>
  <sheetViews>
    <sheetView showGridLines="0" zoomScale="90" zoomScaleNormal="90" zoomScalePageLayoutView="0" workbookViewId="0" topLeftCell="A1">
      <pane ySplit="5" topLeftCell="A6" activePane="bottomLeft" state="frozen"/>
      <selection pane="topLeft" activeCell="E11" sqref="E11"/>
      <selection pane="bottomLeft" activeCell="B2" sqref="B2:G2"/>
    </sheetView>
  </sheetViews>
  <sheetFormatPr defaultColWidth="9.33203125" defaultRowHeight="10.5"/>
  <cols>
    <col min="1" max="1" width="71.33203125" style="434" customWidth="1"/>
    <col min="2" max="2" width="8" style="434" customWidth="1"/>
    <col min="3" max="3" width="14.16015625" style="434" customWidth="1"/>
    <col min="4" max="4" width="15.33203125" style="434" customWidth="1"/>
    <col min="5" max="5" width="25" style="434" bestFit="1" customWidth="1"/>
    <col min="6" max="6" width="17.33203125" style="434" customWidth="1"/>
    <col min="7" max="7" width="17.16015625" style="434" customWidth="1"/>
    <col min="8" max="14" width="9.33203125" style="434" customWidth="1"/>
  </cols>
  <sheetData>
    <row r="1" spans="1:13" s="5" customFormat="1" ht="26.25" customHeight="1">
      <c r="A1" s="1155" t="str">
        <f>'t1'!A1:K1</f>
        <v>COMPARTO AFAM - anno 2016</v>
      </c>
      <c r="B1" s="1155"/>
      <c r="C1" s="1155"/>
      <c r="D1" s="1155"/>
      <c r="E1" s="1155"/>
      <c r="F1" s="323"/>
      <c r="G1" s="320"/>
      <c r="H1" s="323"/>
      <c r="K1" s="3"/>
      <c r="M1" s="433"/>
    </row>
    <row r="2" spans="2:13" s="5" customFormat="1" ht="15" customHeight="1">
      <c r="B2" s="1237"/>
      <c r="C2" s="1237"/>
      <c r="D2" s="1237"/>
      <c r="E2" s="1237"/>
      <c r="F2" s="1237"/>
      <c r="G2" s="1237"/>
      <c r="J2" s="324"/>
      <c r="K2" s="3"/>
      <c r="M2" s="433"/>
    </row>
    <row r="3" spans="1:2" s="5" customFormat="1" ht="21" customHeight="1" thickBot="1">
      <c r="A3" s="327" t="s">
        <v>272</v>
      </c>
      <c r="B3" s="7"/>
    </row>
    <row r="4" spans="1:7" ht="20.25" customHeight="1" thickBot="1">
      <c r="A4" s="337" t="s">
        <v>273</v>
      </c>
      <c r="B4" s="1262">
        <f>'t12'!J31+'t13'!V31</f>
        <v>31289</v>
      </c>
      <c r="C4" s="1263"/>
      <c r="D4" s="1263"/>
      <c r="E4" s="1263"/>
      <c r="F4" s="1263"/>
      <c r="G4" s="1264"/>
    </row>
    <row r="5" spans="1:14" ht="85.5" customHeight="1" thickBot="1">
      <c r="A5" s="223" t="s">
        <v>115</v>
      </c>
      <c r="B5" s="224" t="s">
        <v>257</v>
      </c>
      <c r="C5" s="224" t="s">
        <v>258</v>
      </c>
      <c r="D5" s="225" t="s">
        <v>259</v>
      </c>
      <c r="E5" s="1265" t="s">
        <v>255</v>
      </c>
      <c r="F5" s="1266"/>
      <c r="G5" s="1267"/>
      <c r="H5" s="433"/>
      <c r="I5" s="433"/>
      <c r="J5" s="433"/>
      <c r="K5" s="433"/>
      <c r="L5" s="433"/>
      <c r="M5" s="433"/>
      <c r="N5" s="433"/>
    </row>
    <row r="6" spans="1:14" ht="19.5" customHeight="1">
      <c r="A6" s="222" t="str">
        <f>'t14'!A4</f>
        <v>ASSEGNI PER IL NUCLEO FAMILIARE</v>
      </c>
      <c r="B6" s="332" t="str">
        <f>'t14'!B4</f>
        <v>L005</v>
      </c>
      <c r="C6" s="328">
        <f>'t14'!D4</f>
        <v>0</v>
      </c>
      <c r="D6" s="435" t="str">
        <f aca="true" t="shared" si="0" ref="D6:D12">IF($B$4=0," ",(IF(C6=0," ",C6/$B$4)))</f>
        <v> </v>
      </c>
      <c r="E6" s="1274" t="str">
        <f>IF($B$4=0,"TABELLE 12 -13 ASSENTI",(IF('t12'!$J$31=0,"TAB. 12 ASSENTE",(IF('t13'!V31=0,"TAB. 13 ASSENTE"," ")))))</f>
        <v>TAB. 12 ASSENTE</v>
      </c>
      <c r="F6" s="1275"/>
      <c r="G6" s="1276"/>
      <c r="H6" s="433"/>
      <c r="I6" s="433"/>
      <c r="J6" s="433"/>
      <c r="K6" s="433"/>
      <c r="L6" s="433"/>
      <c r="M6" s="433"/>
      <c r="N6" s="433"/>
    </row>
    <row r="7" spans="1:14" ht="19.5" customHeight="1">
      <c r="A7" s="222" t="str">
        <f>'t14'!A5</f>
        <v>GESTIONE MENSE </v>
      </c>
      <c r="B7" s="332" t="str">
        <f>'t14'!B5</f>
        <v>L010</v>
      </c>
      <c r="C7" s="329">
        <f>'t14'!D5</f>
        <v>0</v>
      </c>
      <c r="D7" s="436" t="str">
        <f t="shared" si="0"/>
        <v> </v>
      </c>
      <c r="E7" s="1268"/>
      <c r="F7" s="1269"/>
      <c r="G7" s="1270"/>
      <c r="H7" s="433"/>
      <c r="I7" s="433"/>
      <c r="J7" s="433"/>
      <c r="K7" s="433"/>
      <c r="L7" s="433"/>
      <c r="M7" s="433"/>
      <c r="N7" s="433"/>
    </row>
    <row r="8" spans="1:14" ht="19.5" customHeight="1">
      <c r="A8" s="222" t="str">
        <f>'t14'!A6</f>
        <v>EROGAZIONE BUONI PASTO</v>
      </c>
      <c r="B8" s="332" t="str">
        <f>'t14'!B6</f>
        <v>L011</v>
      </c>
      <c r="C8" s="329">
        <f>'t14'!D6</f>
        <v>0</v>
      </c>
      <c r="D8" s="436" t="str">
        <f t="shared" si="0"/>
        <v> </v>
      </c>
      <c r="E8" s="1268"/>
      <c r="F8" s="1269"/>
      <c r="G8" s="1270"/>
      <c r="H8" s="433"/>
      <c r="I8" s="433"/>
      <c r="J8" s="433"/>
      <c r="K8" s="433"/>
      <c r="L8" s="433"/>
      <c r="M8" s="433"/>
      <c r="N8" s="433"/>
    </row>
    <row r="9" spans="1:14" ht="19.5" customHeight="1">
      <c r="A9" s="222" t="str">
        <f>'t14'!A7</f>
        <v>FORMAZIONE DEL PERSONALE</v>
      </c>
      <c r="B9" s="332" t="str">
        <f>'t14'!B7</f>
        <v>L020</v>
      </c>
      <c r="C9" s="329">
        <f>'t14'!D7</f>
        <v>0</v>
      </c>
      <c r="D9" s="436" t="str">
        <f t="shared" si="0"/>
        <v> </v>
      </c>
      <c r="E9" s="1268"/>
      <c r="F9" s="1269"/>
      <c r="G9" s="1270"/>
      <c r="H9" s="433"/>
      <c r="I9" s="433"/>
      <c r="J9" s="433"/>
      <c r="K9" s="433"/>
      <c r="L9" s="433"/>
      <c r="M9" s="433"/>
      <c r="N9" s="433"/>
    </row>
    <row r="10" spans="1:14" ht="19.5" customHeight="1">
      <c r="A10" s="222" t="str">
        <f>'t14'!A8</f>
        <v>BENESSERE DEL PERSONALE</v>
      </c>
      <c r="B10" s="332" t="str">
        <f>'t14'!B8</f>
        <v>L090</v>
      </c>
      <c r="C10" s="329">
        <f>'t14'!D8</f>
        <v>0</v>
      </c>
      <c r="D10" s="436" t="str">
        <f t="shared" si="0"/>
        <v> </v>
      </c>
      <c r="E10" s="1268"/>
      <c r="F10" s="1269"/>
      <c r="G10" s="1270"/>
      <c r="H10" s="433"/>
      <c r="I10" s="433"/>
      <c r="J10" s="433"/>
      <c r="K10" s="433"/>
      <c r="L10" s="433"/>
      <c r="M10" s="433"/>
      <c r="N10" s="433"/>
    </row>
    <row r="11" spans="1:14" ht="19.5" customHeight="1" thickBot="1">
      <c r="A11" s="222" t="str">
        <f>'t14'!A9</f>
        <v>EQUO INDENNIZZO AL PERSONALE</v>
      </c>
      <c r="B11" s="332" t="str">
        <f>'t14'!B9</f>
        <v>L100</v>
      </c>
      <c r="C11" s="329">
        <f>'t14'!D9</f>
        <v>0</v>
      </c>
      <c r="D11" s="437" t="str">
        <f t="shared" si="0"/>
        <v> </v>
      </c>
      <c r="E11" s="1271"/>
      <c r="F11" s="1272"/>
      <c r="G11" s="1273"/>
      <c r="H11" s="433"/>
      <c r="I11" s="433"/>
      <c r="J11" s="433"/>
      <c r="K11" s="433"/>
      <c r="L11" s="433"/>
      <c r="M11" s="433"/>
      <c r="N11" s="433"/>
    </row>
    <row r="12" spans="1:14" ht="30.75" customHeight="1" thickBot="1">
      <c r="A12" s="222" t="str">
        <f>'t14'!A10</f>
        <v>SOMME CORRISPOSTE AD AGENZIA DI SOMMINISTRAZIONE(INTERINALI)</v>
      </c>
      <c r="B12" s="332" t="str">
        <f>'t14'!B10</f>
        <v>L105</v>
      </c>
      <c r="C12" s="329">
        <f>'t14'!D10</f>
        <v>0</v>
      </c>
      <c r="D12" s="437" t="str">
        <f t="shared" si="0"/>
        <v> </v>
      </c>
      <c r="E12" s="1260" t="str">
        <f>(IF(AND(C12=0,C24&gt;0),"P062 VALORIZZATA; INSERIRE SOMME SPETTANTI ALL'AGENZIA (L105)",IF(AND(C12&gt;0,C24&gt;0,C12&gt;(C24/100*30)),"ATTENZIONE: la voce L105 supera il 30% della voce P062. Il salvataggio produrrà l'INCONGRUENZA 1 che dovrà essere giustificata"," ")))</f>
        <v> </v>
      </c>
      <c r="F12" s="1277"/>
      <c r="G12" s="1278"/>
      <c r="H12" s="433"/>
      <c r="I12" s="433"/>
      <c r="J12" s="433"/>
      <c r="K12" s="433"/>
      <c r="L12" s="433"/>
      <c r="M12" s="433"/>
      <c r="N12" s="433"/>
    </row>
    <row r="13" spans="1:14" ht="19.5" customHeight="1" thickBot="1">
      <c r="A13" s="222" t="str">
        <f>'t14'!A11</f>
        <v>COPERTURE ASSICURATIVE</v>
      </c>
      <c r="B13" s="332" t="str">
        <f>'t14'!B11</f>
        <v>L107</v>
      </c>
      <c r="C13" s="329">
        <f>'t14'!D11</f>
        <v>0</v>
      </c>
      <c r="D13" s="435" t="str">
        <f aca="true" t="shared" si="1" ref="D13:D21">IF($B$4=0," ",(IF(C13=0," ",C13/$B$4)))</f>
        <v> </v>
      </c>
      <c r="E13" s="1257" t="str">
        <f>IF($B$4=0,"TABELLE 12 -13 ASSENTI",(IF('t12'!$J$31=0,"TAB. 12 ASSENTE",(IF('t13'!$V$31=0,"TAB. 13 ASSENTE"," ")))))</f>
        <v>TAB. 12 ASSENTE</v>
      </c>
      <c r="F13" s="1261" t="s">
        <v>309</v>
      </c>
      <c r="G13" s="1281" t="s">
        <v>309</v>
      </c>
      <c r="H13" s="433"/>
      <c r="I13" s="433"/>
      <c r="J13" s="433"/>
      <c r="K13" s="433"/>
      <c r="L13" s="433"/>
      <c r="M13" s="433"/>
      <c r="N13" s="433"/>
    </row>
    <row r="14" spans="1:14" ht="41.25" customHeight="1" thickBot="1">
      <c r="A14" s="222" t="str">
        <f>'t14'!A12</f>
        <v>CONTRATTI DI COLLABORAZIONE COORDINATA E CONTINUATIVA</v>
      </c>
      <c r="B14" s="332" t="str">
        <f>'t14'!B12</f>
        <v>L108</v>
      </c>
      <c r="C14" s="329">
        <f>'t14'!D12</f>
        <v>121136</v>
      </c>
      <c r="D14" s="436">
        <f t="shared" si="1"/>
        <v>3.8715</v>
      </c>
      <c r="E14" s="1260" t="str">
        <f>IF(SI_1!G56=0,IF('t14'!D12=0," ","MANCA IL NUMERO DEI CONTRATTI NELLA SI_1"),IF('t14'!D12=0,"VERIFICARE SE INSERIRE LE SPESE"," "))</f>
        <v> </v>
      </c>
      <c r="F14" s="1261"/>
      <c r="G14" s="354" t="str">
        <f>IF(AND(C14&gt;0,SI_1!G56&gt;0),"VALORE MEDIO UNITARIO DI SPESA =  "&amp;C14/SI_1!G56," ")</f>
        <v>VALORE MEDIO UNITARIO DI SPESA =  8652,57142857143</v>
      </c>
      <c r="H14" s="433"/>
      <c r="I14" s="433"/>
      <c r="J14" s="433"/>
      <c r="K14" s="433"/>
      <c r="L14" s="433"/>
      <c r="M14" s="433"/>
      <c r="N14" s="433"/>
    </row>
    <row r="15" spans="1:14" ht="41.25" customHeight="1" thickBot="1">
      <c r="A15" s="222" t="str">
        <f>'t14'!A13</f>
        <v>INCARICHI LIBERO PROFESSIONALI/STUDIO/RICERCA/CONSULENZA</v>
      </c>
      <c r="B15" s="332" t="str">
        <f>'t14'!B13</f>
        <v>L109</v>
      </c>
      <c r="C15" s="329">
        <f>'t14'!D13</f>
        <v>0</v>
      </c>
      <c r="D15" s="436" t="str">
        <f t="shared" si="1"/>
        <v> </v>
      </c>
      <c r="E15" s="1260" t="str">
        <f>IF(SI_1!G59=0,IF('t14'!D13=0," ","MANCA IL NUMERO DEI CONTRATTI NELLA SI_1"),IF('t14'!D13=0,"VERIFICARE SE INSERIRE LE SPESE"," "))</f>
        <v> </v>
      </c>
      <c r="F15" s="1261"/>
      <c r="G15" s="354" t="str">
        <f>IF(AND(C15&gt;0,SI_1!G59&gt;0),"VALORE MEDIO UNITARIO DI SPESA =  "&amp;C15/SI_1!G59," ")</f>
        <v> </v>
      </c>
      <c r="H15" s="433"/>
      <c r="I15" s="433"/>
      <c r="J15" s="433"/>
      <c r="K15" s="433"/>
      <c r="L15" s="433"/>
      <c r="M15" s="433"/>
      <c r="N15" s="433"/>
    </row>
    <row r="16" spans="1:14" ht="41.25" customHeight="1" thickBot="1">
      <c r="A16" s="222" t="str">
        <f>'t14'!A14</f>
        <v>CONTRATTI PER RESA SERVIZI/ADEMPIMENTI OBBLIGATORI PER LEGGE</v>
      </c>
      <c r="B16" s="332" t="str">
        <f>'t14'!B14</f>
        <v>L115</v>
      </c>
      <c r="C16" s="329">
        <f>'t14'!D14</f>
        <v>22162</v>
      </c>
      <c r="D16" s="436">
        <f>IF($B$4=0," ",(IF(C16=0," ",C16/$B$4)))</f>
        <v>0.7083</v>
      </c>
      <c r="E16" s="1260" t="str">
        <f>IF(SI_1!G62=0,IF('t14'!D14=0," ","MANCA IL NUMERO DEI CONTRATTI NELLA SI_1"),IF('t14'!D14=0,"VERIFICARE SE INSERIRE LE SPESE"," "))</f>
        <v> </v>
      </c>
      <c r="F16" s="1261"/>
      <c r="G16" s="354" t="str">
        <f>IF(AND(C16&gt;0,SI_1!G62&gt;0),"VALORE MEDIO UNITARIO DI SPESA =  "&amp;C16/SI_1!G62," ")</f>
        <v>VALORE MEDIO UNITARIO DI SPESA =  3693,66666666667</v>
      </c>
      <c r="H16" s="433"/>
      <c r="I16" s="433"/>
      <c r="J16" s="433"/>
      <c r="K16" s="433"/>
      <c r="L16" s="433"/>
      <c r="M16" s="433"/>
      <c r="N16" s="433"/>
    </row>
    <row r="17" spans="1:14" ht="19.5" customHeight="1">
      <c r="A17" s="222" t="str">
        <f>'t14'!A15</f>
        <v>ALTRE SPESE</v>
      </c>
      <c r="B17" s="332" t="str">
        <f>'t14'!B15</f>
        <v>L110</v>
      </c>
      <c r="C17" s="329">
        <f>'t14'!D15</f>
        <v>0</v>
      </c>
      <c r="D17" s="436" t="str">
        <f t="shared" si="1"/>
        <v> </v>
      </c>
      <c r="E17" s="1274" t="str">
        <f>IF($B$4=0,"TABELLE 12 -13 ASSENTI",(IF('t12'!J31=0,"TAB. 12 ASSENTE",(IF('t13'!V31=0,"TAB. 13 ASSENTE"," ")))))</f>
        <v>TAB. 12 ASSENTE</v>
      </c>
      <c r="F17" s="1282" t="s">
        <v>309</v>
      </c>
      <c r="G17" s="1283" t="s">
        <v>309</v>
      </c>
      <c r="H17" s="433"/>
      <c r="I17" s="433"/>
      <c r="J17" s="433"/>
      <c r="K17" s="433"/>
      <c r="L17" s="433"/>
      <c r="M17" s="433"/>
      <c r="N17" s="433"/>
    </row>
    <row r="18" spans="1:14" ht="19.5" customHeight="1">
      <c r="A18" s="222" t="str">
        <f>'t14'!A16</f>
        <v>RETRIBUZIONI PERSONALE  A TEMPO DETERMINATO</v>
      </c>
      <c r="B18" s="332" t="str">
        <f>'t14'!B16</f>
        <v>P015</v>
      </c>
      <c r="C18" s="329">
        <f>'t14'!D16</f>
        <v>16901</v>
      </c>
      <c r="D18" s="436">
        <f t="shared" si="1"/>
        <v>0.5402</v>
      </c>
      <c r="E18" s="1284" t="s">
        <v>309</v>
      </c>
      <c r="F18" s="1285" t="s">
        <v>309</v>
      </c>
      <c r="G18" s="1286" t="s">
        <v>309</v>
      </c>
      <c r="H18" s="433"/>
      <c r="I18" s="433"/>
      <c r="J18" s="433"/>
      <c r="K18" s="433"/>
      <c r="L18" s="433"/>
      <c r="M18" s="433"/>
      <c r="N18" s="433"/>
    </row>
    <row r="19" spans="1:14" ht="19.5" customHeight="1">
      <c r="A19" s="222" t="str">
        <f>'t14'!A17</f>
        <v>RETRIBUZIONI PERSONALE CON CONTRATTO DI FORMAZIONE E LAVORO</v>
      </c>
      <c r="B19" s="332" t="str">
        <f>'t14'!B17</f>
        <v>P016</v>
      </c>
      <c r="C19" s="329">
        <f>'t14'!D17</f>
        <v>0</v>
      </c>
      <c r="D19" s="436" t="str">
        <f t="shared" si="1"/>
        <v> </v>
      </c>
      <c r="E19" s="1284" t="s">
        <v>309</v>
      </c>
      <c r="F19" s="1285" t="s">
        <v>309</v>
      </c>
      <c r="G19" s="1286" t="s">
        <v>309</v>
      </c>
      <c r="H19" s="433"/>
      <c r="I19" s="433"/>
      <c r="J19" s="433"/>
      <c r="K19" s="433"/>
      <c r="L19" s="433"/>
      <c r="M19" s="433"/>
      <c r="N19" s="433"/>
    </row>
    <row r="20" spans="1:14" ht="19.5" customHeight="1" thickBot="1">
      <c r="A20" s="222" t="str">
        <f>'t14'!A18</f>
        <v>INDENNITA' DI MISSIONE E TRASFERIMENTO</v>
      </c>
      <c r="B20" s="332" t="str">
        <f>'t14'!B18</f>
        <v>P030</v>
      </c>
      <c r="C20" s="329">
        <f>'t14'!D18</f>
        <v>0</v>
      </c>
      <c r="D20" s="436" t="str">
        <f t="shared" si="1"/>
        <v> </v>
      </c>
      <c r="E20" s="1287" t="s">
        <v>309</v>
      </c>
      <c r="F20" s="1288" t="s">
        <v>309</v>
      </c>
      <c r="G20" s="1289" t="s">
        <v>309</v>
      </c>
      <c r="H20" s="433"/>
      <c r="I20" s="433"/>
      <c r="J20" s="433"/>
      <c r="K20" s="433"/>
      <c r="L20" s="433"/>
      <c r="M20" s="433"/>
      <c r="N20" s="433"/>
    </row>
    <row r="21" spans="1:14" ht="30.75" customHeight="1" thickBot="1">
      <c r="A21" s="222" t="str">
        <f>'t14'!A20</f>
        <v>CONTRIBUTI A CARICO DELL'AMM.NE SU COMP. FISSE E ACCESSORIE</v>
      </c>
      <c r="B21" s="332" t="str">
        <f>'t14'!B20</f>
        <v>P055</v>
      </c>
      <c r="C21" s="329">
        <f>'t14'!D20</f>
        <v>0</v>
      </c>
      <c r="D21" s="436" t="str">
        <f t="shared" si="1"/>
        <v> </v>
      </c>
      <c r="E21" s="512" t="str">
        <f>IF(AND(C31=0,B4=0)," ",IF(C31=0,"TABELLA 14 ASSENTE",IF(AND(B4=0,C18=0,C19=0,C25=0),"INSERIRE RETRIBUZIONI",IF(C21=0,"INSERIRE CONTRIBUTI",ROUND((C21/(B4+C18+C19+C25)*100),2)))))</f>
        <v>INSERIRE CONTRIBUTI</v>
      </c>
      <c r="F21" s="1277" t="str">
        <f>IF(AND(B4=0,C31=0)," ",IF(C31=0,"VALORE INCONGRUENTE",IF(C21=0," ",IF(OR(E21&lt;25.398,E21&gt;34.362),"VALORE INCONGRUENTE (Inc. 4)","OK"))))</f>
        <v> </v>
      </c>
      <c r="G21" s="1278"/>
      <c r="H21" s="433"/>
      <c r="I21" s="433"/>
      <c r="J21" s="433"/>
      <c r="K21" s="433"/>
      <c r="L21" s="433"/>
      <c r="M21" s="433"/>
      <c r="N21" s="433"/>
    </row>
    <row r="22" spans="1:14" ht="30.75" customHeight="1" thickBot="1">
      <c r="A22" s="222" t="str">
        <f>'t14'!A21</f>
        <v>QUOTE ANNUE ACCANTONAMENTO TFR O ALTRA IND. FINE SERVIZIO</v>
      </c>
      <c r="B22" s="332" t="str">
        <f>'t14'!B21</f>
        <v>P058</v>
      </c>
      <c r="C22" s="329">
        <f>'t14'!D21</f>
        <v>0</v>
      </c>
      <c r="D22" s="436" t="str">
        <f>IF($B$4=0," ",(IF(C22=0," ",C22/$B$4)))</f>
        <v> </v>
      </c>
      <c r="E22" s="1268" t="str">
        <f>IF($B$4=0,"TABELLE 12 -13 ASSENTI",(IF('t12'!$J$31=0,"TAB. 12 ASSENTE",(IF('t13'!$V$31=0,"TAB. 13 ASSENTE"," ")))))</f>
        <v>TAB. 12 ASSENTE</v>
      </c>
      <c r="F22" s="1269" t="s">
        <v>309</v>
      </c>
      <c r="G22" s="1270" t="s">
        <v>309</v>
      </c>
      <c r="H22" s="433"/>
      <c r="I22" s="433"/>
      <c r="J22" s="433"/>
      <c r="K22" s="433"/>
      <c r="L22" s="433"/>
      <c r="M22" s="433"/>
      <c r="N22" s="433"/>
    </row>
    <row r="23" spans="1:14" ht="24" customHeight="1" thickBot="1">
      <c r="A23" s="222" t="str">
        <f>'t14'!A22</f>
        <v>IRAP</v>
      </c>
      <c r="B23" s="332" t="str">
        <f>'t14'!B22</f>
        <v>P061</v>
      </c>
      <c r="C23" s="329">
        <f>'t14'!D22</f>
        <v>0</v>
      </c>
      <c r="D23" s="436" t="str">
        <f>IF($B$4=0," ",IF(C23=0," ",C23/$B$4))</f>
        <v> </v>
      </c>
      <c r="E23" s="512" t="str">
        <f>IF(AND(B4=0,C31=0)," ",IF(C31=0,"TABELLA 14 ASSENTE",IF(AND(B4=0,C18=0,C19=0,C25=0),"INSERIRE RETRIBUZIONI",IF(C23=0,"INSERIRE SOMME IRAP",ROUND((C23/(B4+C18+C19+C25)*100),2)))))</f>
        <v>INSERIRE SOMME IRAP</v>
      </c>
      <c r="F23" s="1279" t="str">
        <f>IF('t14'!G22=1,IF(E23&gt;8.5,"VALORE INCONGRUENTE (Inc.4)","E' stata dichiarata IRAP Commerciale"),IF(AND(B4=0,C31=0)," ",IF(C31=0,"VALORE INCONGRUENTE",IF(C23=0," ",IF(OR(E23&lt;7.65,E23&gt;9.35),"VALORE INCONGRUENTE (Inc.4)","OK")))))</f>
        <v> </v>
      </c>
      <c r="G23" s="1280"/>
      <c r="H23" s="433"/>
      <c r="I23" s="433"/>
      <c r="J23" s="433"/>
      <c r="K23" s="433"/>
      <c r="L23" s="433"/>
      <c r="M23" s="433"/>
      <c r="N23" s="433"/>
    </row>
    <row r="24" spans="1:14" ht="19.5" customHeight="1" thickBot="1">
      <c r="A24" s="222" t="str">
        <f>'t14'!A23</f>
        <v>ONERI PER I CONTRATTI DI SOMMINISTRAZIONE(INTERINALI)</v>
      </c>
      <c r="B24" s="332" t="str">
        <f>'t14'!B23</f>
        <v>P062</v>
      </c>
      <c r="C24" s="330">
        <f>'t14'!D23</f>
        <v>0</v>
      </c>
      <c r="D24" s="438" t="str">
        <f>IF($B$4=0," ",(IF(AND(C24=0,C12&gt;0),"MANCANO GLI ONERI PER I LAVORATORI",IF(C24=0," ",C24/$B$4))))</f>
        <v> </v>
      </c>
      <c r="E24" s="1257" t="str">
        <f>(IF(AND(C24=0,C12&gt;0),"L105 VALORIZZATA; INSERIRE RETRIBUZIONI PER INTERINALI (P062)"," "))</f>
        <v> </v>
      </c>
      <c r="F24" s="1258"/>
      <c r="G24" s="1259"/>
      <c r="H24" s="433"/>
      <c r="I24" s="433"/>
      <c r="J24" s="433"/>
      <c r="K24" s="433"/>
      <c r="L24" s="433"/>
      <c r="M24" s="433"/>
      <c r="N24" s="433"/>
    </row>
    <row r="25" spans="1:14" ht="19.5" customHeight="1">
      <c r="A25" s="222" t="str">
        <f>'t14'!A24</f>
        <v>COMPENSI PER PERSONALE LSU/LPU</v>
      </c>
      <c r="B25" s="332" t="str">
        <f>'t14'!B24</f>
        <v>P065</v>
      </c>
      <c r="C25" s="329">
        <f>'t14'!D24</f>
        <v>0</v>
      </c>
      <c r="D25" s="440" t="str">
        <f aca="true" t="shared" si="2" ref="D25:D30">IF($B$4=0," ",(IF(C25=0," ",C25/$B$4)))</f>
        <v> </v>
      </c>
      <c r="E25" s="1268" t="str">
        <f>IF($B$4=0,"TABELLE 12 -13 ASSENTI",(IF('t12'!$J$31=0,"TAB. 12 ASSENTE",(IF('t13'!$V$31=0,"TAB. 13 ASSENTE"," ")))))</f>
        <v>TAB. 12 ASSENTE</v>
      </c>
      <c r="F25" s="1269"/>
      <c r="G25" s="1270"/>
      <c r="H25" s="433"/>
      <c r="I25" s="433"/>
      <c r="J25" s="433"/>
      <c r="K25" s="433"/>
      <c r="L25" s="433"/>
      <c r="M25" s="433"/>
      <c r="N25" s="433"/>
    </row>
    <row r="26" spans="1:14" ht="19.5" customHeight="1">
      <c r="A26" s="222" t="str">
        <f>'t14'!A25</f>
        <v>SOMME RIMBORSATE PER PERSONALE COMAND./FUORI RUOLO/IN CONV.</v>
      </c>
      <c r="B26" s="332" t="str">
        <f>'t14'!B25</f>
        <v>P071</v>
      </c>
      <c r="C26" s="329">
        <f>'t14'!D25</f>
        <v>0</v>
      </c>
      <c r="D26" s="439" t="str">
        <f t="shared" si="2"/>
        <v> </v>
      </c>
      <c r="E26" s="1268"/>
      <c r="F26" s="1269"/>
      <c r="G26" s="1270"/>
      <c r="H26" s="433"/>
      <c r="I26" s="433"/>
      <c r="J26" s="433"/>
      <c r="K26" s="433"/>
      <c r="L26" s="433"/>
      <c r="M26" s="433"/>
      <c r="N26" s="433"/>
    </row>
    <row r="27" spans="1:14" ht="19.5" customHeight="1">
      <c r="A27" s="222" t="str">
        <f>'t14'!A26</f>
        <v>ALTRE SOMME RIMBORSATE ALLE AMMINISTRAZIONI</v>
      </c>
      <c r="B27" s="332" t="str">
        <f>'t14'!B26</f>
        <v>P074</v>
      </c>
      <c r="C27" s="329">
        <f>'t14'!D26</f>
        <v>0</v>
      </c>
      <c r="D27" s="439" t="str">
        <f t="shared" si="2"/>
        <v> </v>
      </c>
      <c r="E27" s="1268"/>
      <c r="F27" s="1269"/>
      <c r="G27" s="1270"/>
      <c r="H27" s="433"/>
      <c r="I27" s="433"/>
      <c r="J27" s="433"/>
      <c r="K27" s="433"/>
      <c r="L27" s="433"/>
      <c r="M27" s="433"/>
      <c r="N27" s="433"/>
    </row>
    <row r="28" spans="1:14" ht="19.5" customHeight="1">
      <c r="A28" s="222" t="str">
        <f>'t14'!A27</f>
        <v>SOMME RICEVUTE DA U.E. E/O PRIVATI (-)</v>
      </c>
      <c r="B28" s="332" t="str">
        <f>'t14'!B27</f>
        <v>P098</v>
      </c>
      <c r="C28" s="329">
        <f>'t14'!D27</f>
        <v>0</v>
      </c>
      <c r="D28" s="439" t="str">
        <f t="shared" si="2"/>
        <v> </v>
      </c>
      <c r="E28" s="1268"/>
      <c r="F28" s="1269"/>
      <c r="G28" s="1270"/>
      <c r="H28" s="433"/>
      <c r="I28" s="433"/>
      <c r="J28" s="433"/>
      <c r="K28" s="433"/>
      <c r="L28" s="433"/>
      <c r="M28" s="433"/>
      <c r="N28" s="433"/>
    </row>
    <row r="29" spans="1:14" ht="19.5" customHeight="1">
      <c r="A29" s="222" t="str">
        <f>'t14'!A28</f>
        <v>RIMBORSI RICEVUTI PER PERS. COMAND./FUORI RUOLO/IN CONV. (-)</v>
      </c>
      <c r="B29" s="332" t="str">
        <f>'t14'!B28</f>
        <v>P090</v>
      </c>
      <c r="C29" s="329">
        <f>'t14'!D28</f>
        <v>0</v>
      </c>
      <c r="D29" s="439" t="str">
        <f t="shared" si="2"/>
        <v> </v>
      </c>
      <c r="E29" s="1268"/>
      <c r="F29" s="1269"/>
      <c r="G29" s="1270"/>
      <c r="H29" s="433"/>
      <c r="I29" s="433"/>
      <c r="J29" s="433"/>
      <c r="K29" s="433"/>
      <c r="L29" s="433"/>
      <c r="M29" s="433"/>
      <c r="N29" s="433"/>
    </row>
    <row r="30" spans="1:14" ht="19.5" customHeight="1" thickBot="1">
      <c r="A30" s="222" t="str">
        <f>'t14'!A29</f>
        <v>ALTRI RIMBORSI RICEVUTI DALLE AMMINISTRAZIONI (-)</v>
      </c>
      <c r="B30" s="332" t="str">
        <f>'t14'!B29</f>
        <v>P099</v>
      </c>
      <c r="C30" s="329">
        <f>'t14'!D29</f>
        <v>0</v>
      </c>
      <c r="D30" s="439" t="str">
        <f t="shared" si="2"/>
        <v> </v>
      </c>
      <c r="E30" s="1271"/>
      <c r="F30" s="1272"/>
      <c r="G30" s="1273"/>
      <c r="H30" s="433"/>
      <c r="I30" s="433"/>
      <c r="J30" s="433"/>
      <c r="K30" s="433"/>
      <c r="L30" s="433"/>
      <c r="M30" s="433"/>
      <c r="N30" s="433"/>
    </row>
    <row r="31" spans="1:14" s="432" customFormat="1" ht="18" customHeight="1">
      <c r="A31" s="430" t="s">
        <v>82</v>
      </c>
      <c r="B31" s="430"/>
      <c r="C31" s="431">
        <f>SUM(C6:C30)</f>
        <v>160199</v>
      </c>
      <c r="D31" s="430"/>
      <c r="E31" s="430"/>
      <c r="F31" s="430"/>
      <c r="G31" s="430"/>
      <c r="I31" s="434"/>
      <c r="J31" s="434"/>
      <c r="K31" s="434"/>
      <c r="L31" s="434"/>
      <c r="M31" s="434"/>
      <c r="N31" s="434"/>
    </row>
  </sheetData>
  <sheetProtection password="EA98" sheet="1" formatColumns="0" selectLockedCells="1" selectUnlockedCells="1"/>
  <mergeCells count="16">
    <mergeCell ref="E25:G30"/>
    <mergeCell ref="E6:G11"/>
    <mergeCell ref="E12:G12"/>
    <mergeCell ref="F21:G21"/>
    <mergeCell ref="F23:G23"/>
    <mergeCell ref="E13:G13"/>
    <mergeCell ref="E17:G20"/>
    <mergeCell ref="E22:G22"/>
    <mergeCell ref="E14:F14"/>
    <mergeCell ref="E15:F15"/>
    <mergeCell ref="E24:G24"/>
    <mergeCell ref="E16:F16"/>
    <mergeCell ref="A1:E1"/>
    <mergeCell ref="B2:G2"/>
    <mergeCell ref="B4:G4"/>
    <mergeCell ref="E5:G5"/>
  </mergeCells>
  <printOptions horizontalCentered="1" verticalCentered="1"/>
  <pageMargins left="0.1968503937007874" right="0.2362204724409449" top="0.1968503937007874" bottom="0.1968503937007874" header="0.15748031496062992" footer="0.15748031496062992"/>
  <pageSetup fitToHeight="1" fitToWidth="1" horizontalDpi="300" verticalDpi="300" orientation="landscape" paperSize="9" scale="72" r:id="rId1"/>
  <ignoredErrors>
    <ignoredError sqref="D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8"/>
  <dimension ref="A1:AL203"/>
  <sheetViews>
    <sheetView showGridLines="0" zoomScalePageLayoutView="0" workbookViewId="0" topLeftCell="A1">
      <pane xSplit="2" ySplit="5" topLeftCell="AA6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F27" sqref="AF27"/>
    </sheetView>
  </sheetViews>
  <sheetFormatPr defaultColWidth="9.33203125" defaultRowHeight="10.5"/>
  <cols>
    <col min="1" max="1" width="63.66015625" style="5" customWidth="1"/>
    <col min="2" max="2" width="9.66015625" style="7" customWidth="1"/>
    <col min="3" max="13" width="12.16015625" style="5" hidden="1" customWidth="1"/>
    <col min="14" max="14" width="9.33203125" style="908" hidden="1" customWidth="1"/>
    <col min="15" max="26" width="9.33203125" style="5" hidden="1" customWidth="1"/>
    <col min="27" max="37" width="12.16015625" style="5" customWidth="1"/>
    <col min="38" max="38" width="9.33203125" style="908" customWidth="1"/>
    <col min="39" max="16384" width="9.33203125" style="5" customWidth="1"/>
  </cols>
  <sheetData>
    <row r="1" spans="1:37" ht="24.75" customHeight="1" thickBot="1">
      <c r="A1" s="969" t="str">
        <f>"COMPARTO AFAM"&amp;" - anno "&amp;$M$1</f>
        <v>COMPARTO AFAM - anno 2016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375"/>
      <c r="M1" s="748">
        <v>2016</v>
      </c>
      <c r="AJ1" s="375"/>
      <c r="AK1" s="748">
        <v>2016</v>
      </c>
    </row>
    <row r="2" spans="1:37" ht="30" customHeight="1" thickBot="1">
      <c r="A2" s="413"/>
      <c r="B2" s="414"/>
      <c r="C2" s="377"/>
      <c r="D2" s="377"/>
      <c r="E2" s="377"/>
      <c r="F2" s="377"/>
      <c r="G2" s="377"/>
      <c r="H2" s="1127" t="str">
        <f>IF(AND(L31+M31&gt;0,SUM(E31)=0),"ATTENZIONE!  INSERIRE LA DOTAZIONE ORGANICA",IF(AND((L31+M31)&gt;SUM(E31)),"ATTENZIONE!  IL TOTALE DELLA DOTAZIONE ORGANICA E' MINORE DEI PRESENTI AL 31/12",""))</f>
        <v>ATTENZIONE!  IL TOTALE DELLA DOTAZIONE ORGANICA E' MINORE DEI PRESENTI AL 31/12</v>
      </c>
      <c r="I2" s="1128"/>
      <c r="J2" s="1128"/>
      <c r="K2" s="1128"/>
      <c r="L2" s="1128"/>
      <c r="M2" s="1129"/>
      <c r="AA2" s="377"/>
      <c r="AB2" s="377"/>
      <c r="AC2" s="377"/>
      <c r="AD2" s="377"/>
      <c r="AE2" s="377"/>
      <c r="AF2" s="1127" t="str">
        <f>IF(AND(AJ31+AK31&gt;0,SUM(AC31)=0),"ATTENZIONE!  INSERIRE LA DOTAZIONE ORGANICA",IF(AND((AJ31+AK31)&gt;SUM(AC31)),"ATTENZIONE!  IL TOTALE DELLA DOTAZIONE ORGANICA E' MINORE DEI PRESENTI AL 31/12",""))</f>
        <v>ATTENZIONE!  IL TOTALE DELLA DOTAZIONE ORGANICA E' MINORE DEI PRESENTI AL 31/12</v>
      </c>
      <c r="AG2" s="1128"/>
      <c r="AH2" s="1128"/>
      <c r="AI2" s="1128"/>
      <c r="AJ2" s="1128"/>
      <c r="AK2" s="1129"/>
    </row>
    <row r="3" spans="1:37" ht="15" customHeight="1" thickBot="1">
      <c r="A3" s="383"/>
      <c r="B3" s="384"/>
      <c r="C3" s="1130" t="s">
        <v>77</v>
      </c>
      <c r="D3" s="1130"/>
      <c r="E3" s="1130"/>
      <c r="F3" s="1130"/>
      <c r="G3" s="1130"/>
      <c r="H3" s="1131"/>
      <c r="I3" s="1131"/>
      <c r="J3" s="1131"/>
      <c r="K3" s="1131"/>
      <c r="L3" s="1131"/>
      <c r="M3" s="1132"/>
      <c r="AA3" s="1130" t="s">
        <v>77</v>
      </c>
      <c r="AB3" s="1130"/>
      <c r="AC3" s="1130"/>
      <c r="AD3" s="1130"/>
      <c r="AE3" s="1130"/>
      <c r="AF3" s="1131"/>
      <c r="AG3" s="1131"/>
      <c r="AH3" s="1131"/>
      <c r="AI3" s="1131"/>
      <c r="AJ3" s="1131"/>
      <c r="AK3" s="1132"/>
    </row>
    <row r="4" spans="1:37" ht="23.25" thickTop="1">
      <c r="A4" s="907" t="s">
        <v>147</v>
      </c>
      <c r="B4" s="1138" t="s">
        <v>78</v>
      </c>
      <c r="C4" s="23" t="str">
        <f>"Totale dipendenti al 31/12/"&amp;M1-1&amp;" (*)"</f>
        <v>Totale dipendenti al 31/12/2015 (*)</v>
      </c>
      <c r="D4" s="22"/>
      <c r="E4" s="20" t="s">
        <v>79</v>
      </c>
      <c r="F4" s="21" t="s">
        <v>83</v>
      </c>
      <c r="G4" s="22"/>
      <c r="H4" s="23" t="s">
        <v>139</v>
      </c>
      <c r="I4" s="22"/>
      <c r="J4" s="23" t="s">
        <v>140</v>
      </c>
      <c r="K4" s="22"/>
      <c r="L4" s="23" t="str">
        <f>"Totale dipendenti al 31/12/"&amp;M1&amp;" (**)"</f>
        <v>Totale dipendenti al 31/12/2016 (**)</v>
      </c>
      <c r="M4" s="305"/>
      <c r="AA4" s="23" t="str">
        <f>"Totale dipendenti al 31/12/"&amp;AK1-1&amp;" (*)"</f>
        <v>Totale dipendenti al 31/12/2015 (*)</v>
      </c>
      <c r="AB4" s="22"/>
      <c r="AC4" s="20" t="s">
        <v>79</v>
      </c>
      <c r="AD4" s="21" t="s">
        <v>83</v>
      </c>
      <c r="AE4" s="22"/>
      <c r="AF4" s="23" t="s">
        <v>139</v>
      </c>
      <c r="AG4" s="22"/>
      <c r="AH4" s="23" t="s">
        <v>140</v>
      </c>
      <c r="AI4" s="22"/>
      <c r="AJ4" s="23" t="str">
        <f>"Totale dipendenti al 31/12/"&amp;AK1&amp;" (**)"</f>
        <v>Totale dipendenti al 31/12/2016 (**)</v>
      </c>
      <c r="AK4" s="305"/>
    </row>
    <row r="5" spans="1:37" ht="12" thickBot="1">
      <c r="A5" s="910" t="s">
        <v>689</v>
      </c>
      <c r="B5" s="1139"/>
      <c r="C5" s="247" t="s">
        <v>80</v>
      </c>
      <c r="D5" s="248" t="s">
        <v>81</v>
      </c>
      <c r="E5" s="249"/>
      <c r="F5" s="247" t="s">
        <v>80</v>
      </c>
      <c r="G5" s="248" t="s">
        <v>81</v>
      </c>
      <c r="H5" s="247" t="s">
        <v>80</v>
      </c>
      <c r="I5" s="248" t="s">
        <v>81</v>
      </c>
      <c r="J5" s="247" t="s">
        <v>80</v>
      </c>
      <c r="K5" s="248" t="s">
        <v>81</v>
      </c>
      <c r="L5" s="247" t="s">
        <v>80</v>
      </c>
      <c r="M5" s="306" t="s">
        <v>81</v>
      </c>
      <c r="AA5" s="247" t="s">
        <v>80</v>
      </c>
      <c r="AB5" s="248" t="s">
        <v>81</v>
      </c>
      <c r="AC5" s="249"/>
      <c r="AD5" s="247" t="s">
        <v>80</v>
      </c>
      <c r="AE5" s="248" t="s">
        <v>81</v>
      </c>
      <c r="AF5" s="247" t="s">
        <v>80</v>
      </c>
      <c r="AG5" s="248" t="s">
        <v>81</v>
      </c>
      <c r="AH5" s="247" t="s">
        <v>80</v>
      </c>
      <c r="AI5" s="248" t="s">
        <v>81</v>
      </c>
      <c r="AJ5" s="247" t="s">
        <v>80</v>
      </c>
      <c r="AK5" s="306" t="s">
        <v>81</v>
      </c>
    </row>
    <row r="6" spans="1:38" ht="12.75" customHeight="1" thickTop="1">
      <c r="A6" s="155" t="s">
        <v>460</v>
      </c>
      <c r="B6" s="367" t="s">
        <v>461</v>
      </c>
      <c r="C6" s="933">
        <f>ROUND(AA6,0)</f>
        <v>0</v>
      </c>
      <c r="D6" s="934">
        <f aca="true" t="shared" si="0" ref="D6:D30">ROUND(AB6,0)</f>
        <v>0</v>
      </c>
      <c r="E6" s="936">
        <f aca="true" t="shared" si="1" ref="E6:E30">ROUND(AC6,0)</f>
        <v>0</v>
      </c>
      <c r="F6" s="936">
        <f aca="true" t="shared" si="2" ref="F6:F30">ROUND(AD6,0)</f>
        <v>0</v>
      </c>
      <c r="G6" s="937">
        <f aca="true" t="shared" si="3" ref="G6:G30">ROUND(AE6,0)</f>
        <v>0</v>
      </c>
      <c r="H6" s="936">
        <f aca="true" t="shared" si="4" ref="H6:H30">ROUND(AF6,0)</f>
        <v>0</v>
      </c>
      <c r="I6" s="937">
        <f aca="true" t="shared" si="5" ref="I6:I30">ROUND(AG6,0)</f>
        <v>0</v>
      </c>
      <c r="J6" s="936">
        <f aca="true" t="shared" si="6" ref="J6:J30">ROUND(AH6,0)</f>
        <v>0</v>
      </c>
      <c r="K6" s="937">
        <f aca="true" t="shared" si="7" ref="K6:K30">ROUND(AI6,0)</f>
        <v>0</v>
      </c>
      <c r="L6" s="441">
        <f aca="true" t="shared" si="8" ref="L6:L30">ROUND(AJ6,0)</f>
        <v>0</v>
      </c>
      <c r="M6" s="442">
        <f aca="true" t="shared" si="9" ref="M6:M30">ROUND(AK6,0)</f>
        <v>0</v>
      </c>
      <c r="N6" s="909">
        <f>L6+M6</f>
        <v>0</v>
      </c>
      <c r="AA6" s="334"/>
      <c r="AB6" s="335"/>
      <c r="AC6" s="333"/>
      <c r="AD6" s="333"/>
      <c r="AE6" s="256"/>
      <c r="AF6" s="333"/>
      <c r="AG6" s="256"/>
      <c r="AH6" s="333"/>
      <c r="AI6" s="256"/>
      <c r="AJ6" s="441">
        <f>AD6+AF6+AH6</f>
        <v>0</v>
      </c>
      <c r="AK6" s="442">
        <f>AE6+AG6+AI6</f>
        <v>0</v>
      </c>
      <c r="AL6" s="909">
        <f>AJ6+AK6</f>
        <v>0</v>
      </c>
    </row>
    <row r="7" spans="1:38" ht="12.75" customHeight="1">
      <c r="A7" s="155" t="s">
        <v>462</v>
      </c>
      <c r="B7" s="368" t="s">
        <v>463</v>
      </c>
      <c r="C7" s="933">
        <f aca="true" t="shared" si="10" ref="C7:C30">ROUND(AA7,0)</f>
        <v>7</v>
      </c>
      <c r="D7" s="934">
        <f t="shared" si="0"/>
        <v>4</v>
      </c>
      <c r="E7" s="936">
        <f t="shared" si="1"/>
        <v>5</v>
      </c>
      <c r="F7" s="936">
        <f t="shared" si="2"/>
        <v>5</v>
      </c>
      <c r="G7" s="937">
        <f t="shared" si="3"/>
        <v>4</v>
      </c>
      <c r="H7" s="936">
        <f t="shared" si="4"/>
        <v>0</v>
      </c>
      <c r="I7" s="937">
        <f t="shared" si="5"/>
        <v>0</v>
      </c>
      <c r="J7" s="936">
        <f t="shared" si="6"/>
        <v>0</v>
      </c>
      <c r="K7" s="937">
        <f t="shared" si="7"/>
        <v>0</v>
      </c>
      <c r="L7" s="441">
        <f t="shared" si="8"/>
        <v>5</v>
      </c>
      <c r="M7" s="442">
        <f t="shared" si="9"/>
        <v>4</v>
      </c>
      <c r="N7" s="909">
        <f aca="true" t="shared" si="11" ref="N7:N30">L7+M7</f>
        <v>9</v>
      </c>
      <c r="AA7" s="334">
        <v>7</v>
      </c>
      <c r="AB7" s="335">
        <v>4</v>
      </c>
      <c r="AC7" s="333">
        <v>5</v>
      </c>
      <c r="AD7" s="333">
        <v>5</v>
      </c>
      <c r="AE7" s="256">
        <v>4</v>
      </c>
      <c r="AF7" s="333"/>
      <c r="AG7" s="256"/>
      <c r="AH7" s="333"/>
      <c r="AI7" s="256"/>
      <c r="AJ7" s="441">
        <f aca="true" t="shared" si="12" ref="AJ7:AJ30">AD7+AF7+AH7</f>
        <v>5</v>
      </c>
      <c r="AK7" s="442">
        <f aca="true" t="shared" si="13" ref="AK7:AK30">AE7+AG7+AI7</f>
        <v>4</v>
      </c>
      <c r="AL7" s="909">
        <f aca="true" t="shared" si="14" ref="AL7:AL30">AJ7+AK7</f>
        <v>9</v>
      </c>
    </row>
    <row r="8" spans="1:38" ht="12.75" customHeight="1">
      <c r="A8" s="155" t="s">
        <v>464</v>
      </c>
      <c r="B8" s="368" t="s">
        <v>465</v>
      </c>
      <c r="C8" s="933">
        <f t="shared" si="10"/>
        <v>3</v>
      </c>
      <c r="D8" s="934">
        <f t="shared" si="0"/>
        <v>6</v>
      </c>
      <c r="E8" s="936">
        <f t="shared" si="1"/>
        <v>2</v>
      </c>
      <c r="F8" s="936">
        <f t="shared" si="2"/>
        <v>2</v>
      </c>
      <c r="G8" s="937">
        <f t="shared" si="3"/>
        <v>5</v>
      </c>
      <c r="H8" s="936">
        <f t="shared" si="4"/>
        <v>0</v>
      </c>
      <c r="I8" s="937">
        <f t="shared" si="5"/>
        <v>0</v>
      </c>
      <c r="J8" s="936">
        <f t="shared" si="6"/>
        <v>0</v>
      </c>
      <c r="K8" s="937">
        <f t="shared" si="7"/>
        <v>0</v>
      </c>
      <c r="L8" s="441">
        <f t="shared" si="8"/>
        <v>2</v>
      </c>
      <c r="M8" s="442">
        <f t="shared" si="9"/>
        <v>5</v>
      </c>
      <c r="N8" s="909">
        <f t="shared" si="11"/>
        <v>7</v>
      </c>
      <c r="AA8" s="334">
        <v>3</v>
      </c>
      <c r="AB8" s="335">
        <v>6</v>
      </c>
      <c r="AC8" s="333">
        <v>2</v>
      </c>
      <c r="AD8" s="333">
        <v>2</v>
      </c>
      <c r="AE8" s="256">
        <v>5</v>
      </c>
      <c r="AF8" s="333"/>
      <c r="AG8" s="256"/>
      <c r="AH8" s="333"/>
      <c r="AI8" s="256"/>
      <c r="AJ8" s="441">
        <f t="shared" si="12"/>
        <v>2</v>
      </c>
      <c r="AK8" s="442">
        <f t="shared" si="13"/>
        <v>5</v>
      </c>
      <c r="AL8" s="909">
        <f t="shared" si="14"/>
        <v>7</v>
      </c>
    </row>
    <row r="9" spans="1:38" ht="12.75" customHeight="1">
      <c r="A9" s="155" t="s">
        <v>466</v>
      </c>
      <c r="B9" s="368" t="s">
        <v>467</v>
      </c>
      <c r="C9" s="933">
        <f t="shared" si="10"/>
        <v>0</v>
      </c>
      <c r="D9" s="934">
        <f t="shared" si="0"/>
        <v>1</v>
      </c>
      <c r="E9" s="936">
        <f t="shared" si="1"/>
        <v>1</v>
      </c>
      <c r="F9" s="936">
        <f t="shared" si="2"/>
        <v>0</v>
      </c>
      <c r="G9" s="937">
        <f t="shared" si="3"/>
        <v>1</v>
      </c>
      <c r="H9" s="936">
        <f t="shared" si="4"/>
        <v>0</v>
      </c>
      <c r="I9" s="937">
        <f t="shared" si="5"/>
        <v>0</v>
      </c>
      <c r="J9" s="936">
        <f t="shared" si="6"/>
        <v>0</v>
      </c>
      <c r="K9" s="937">
        <f t="shared" si="7"/>
        <v>0</v>
      </c>
      <c r="L9" s="441">
        <f t="shared" si="8"/>
        <v>0</v>
      </c>
      <c r="M9" s="442">
        <f t="shared" si="9"/>
        <v>1</v>
      </c>
      <c r="N9" s="909">
        <f t="shared" si="11"/>
        <v>1</v>
      </c>
      <c r="AA9" s="334"/>
      <c r="AB9" s="335">
        <v>1</v>
      </c>
      <c r="AC9" s="333">
        <v>1</v>
      </c>
      <c r="AD9" s="333"/>
      <c r="AE9" s="256">
        <v>1</v>
      </c>
      <c r="AF9" s="333"/>
      <c r="AG9" s="256"/>
      <c r="AH9" s="333"/>
      <c r="AI9" s="256"/>
      <c r="AJ9" s="441">
        <f t="shared" si="12"/>
        <v>0</v>
      </c>
      <c r="AK9" s="442">
        <f t="shared" si="13"/>
        <v>1</v>
      </c>
      <c r="AL9" s="909">
        <f t="shared" si="14"/>
        <v>1</v>
      </c>
    </row>
    <row r="10" spans="1:38" ht="12.75" customHeight="1">
      <c r="A10" s="155" t="s">
        <v>468</v>
      </c>
      <c r="B10" s="368" t="s">
        <v>469</v>
      </c>
      <c r="C10" s="933">
        <f t="shared" si="10"/>
        <v>0</v>
      </c>
      <c r="D10" s="934">
        <f t="shared" si="0"/>
        <v>1</v>
      </c>
      <c r="E10" s="936">
        <f t="shared" si="1"/>
        <v>1</v>
      </c>
      <c r="F10" s="936">
        <f t="shared" si="2"/>
        <v>0</v>
      </c>
      <c r="G10" s="937">
        <f t="shared" si="3"/>
        <v>1</v>
      </c>
      <c r="H10" s="936">
        <f t="shared" si="4"/>
        <v>0</v>
      </c>
      <c r="I10" s="937">
        <f t="shared" si="5"/>
        <v>0</v>
      </c>
      <c r="J10" s="936">
        <f t="shared" si="6"/>
        <v>0</v>
      </c>
      <c r="K10" s="937">
        <f t="shared" si="7"/>
        <v>0</v>
      </c>
      <c r="L10" s="441">
        <f t="shared" si="8"/>
        <v>0</v>
      </c>
      <c r="M10" s="442">
        <f t="shared" si="9"/>
        <v>1</v>
      </c>
      <c r="N10" s="909">
        <f t="shared" si="11"/>
        <v>1</v>
      </c>
      <c r="AA10" s="334"/>
      <c r="AB10" s="335">
        <v>1</v>
      </c>
      <c r="AC10" s="333">
        <v>1</v>
      </c>
      <c r="AD10" s="333"/>
      <c r="AE10" s="256">
        <v>1</v>
      </c>
      <c r="AF10" s="333"/>
      <c r="AG10" s="256"/>
      <c r="AH10" s="333"/>
      <c r="AI10" s="256"/>
      <c r="AJ10" s="441">
        <f t="shared" si="12"/>
        <v>0</v>
      </c>
      <c r="AK10" s="442">
        <f t="shared" si="13"/>
        <v>1</v>
      </c>
      <c r="AL10" s="909">
        <f t="shared" si="14"/>
        <v>1</v>
      </c>
    </row>
    <row r="11" spans="1:38" ht="12.75" customHeight="1">
      <c r="A11" s="155" t="s">
        <v>470</v>
      </c>
      <c r="B11" s="368" t="s">
        <v>471</v>
      </c>
      <c r="C11" s="933">
        <f t="shared" si="10"/>
        <v>0</v>
      </c>
      <c r="D11" s="934">
        <f t="shared" si="0"/>
        <v>0</v>
      </c>
      <c r="E11" s="936">
        <f t="shared" si="1"/>
        <v>0</v>
      </c>
      <c r="F11" s="936">
        <f t="shared" si="2"/>
        <v>0</v>
      </c>
      <c r="G11" s="937">
        <f t="shared" si="3"/>
        <v>0</v>
      </c>
      <c r="H11" s="936">
        <f t="shared" si="4"/>
        <v>0</v>
      </c>
      <c r="I11" s="937">
        <f t="shared" si="5"/>
        <v>0</v>
      </c>
      <c r="J11" s="936">
        <f t="shared" si="6"/>
        <v>0</v>
      </c>
      <c r="K11" s="937">
        <f t="shared" si="7"/>
        <v>0</v>
      </c>
      <c r="L11" s="441">
        <f t="shared" si="8"/>
        <v>0</v>
      </c>
      <c r="M11" s="442">
        <f t="shared" si="9"/>
        <v>0</v>
      </c>
      <c r="N11" s="909">
        <f t="shared" si="11"/>
        <v>0</v>
      </c>
      <c r="AA11" s="334"/>
      <c r="AB11" s="335"/>
      <c r="AC11" s="333"/>
      <c r="AD11" s="333"/>
      <c r="AE11" s="256"/>
      <c r="AF11" s="333"/>
      <c r="AG11" s="256"/>
      <c r="AH11" s="333"/>
      <c r="AI11" s="256"/>
      <c r="AJ11" s="441">
        <f t="shared" si="12"/>
        <v>0</v>
      </c>
      <c r="AK11" s="442">
        <f t="shared" si="13"/>
        <v>0</v>
      </c>
      <c r="AL11" s="909">
        <f t="shared" si="14"/>
        <v>0</v>
      </c>
    </row>
    <row r="12" spans="1:38" ht="12.75" customHeight="1">
      <c r="A12" s="155" t="s">
        <v>472</v>
      </c>
      <c r="B12" s="368" t="s">
        <v>473</v>
      </c>
      <c r="C12" s="933">
        <f t="shared" si="10"/>
        <v>0</v>
      </c>
      <c r="D12" s="934">
        <f t="shared" si="0"/>
        <v>0</v>
      </c>
      <c r="E12" s="936">
        <f t="shared" si="1"/>
        <v>0</v>
      </c>
      <c r="F12" s="936">
        <f t="shared" si="2"/>
        <v>0</v>
      </c>
      <c r="G12" s="937">
        <f t="shared" si="3"/>
        <v>0</v>
      </c>
      <c r="H12" s="936">
        <f t="shared" si="4"/>
        <v>0</v>
      </c>
      <c r="I12" s="937">
        <f t="shared" si="5"/>
        <v>0</v>
      </c>
      <c r="J12" s="936">
        <f t="shared" si="6"/>
        <v>0</v>
      </c>
      <c r="K12" s="937">
        <f t="shared" si="7"/>
        <v>0</v>
      </c>
      <c r="L12" s="441">
        <f t="shared" si="8"/>
        <v>0</v>
      </c>
      <c r="M12" s="442">
        <f t="shared" si="9"/>
        <v>0</v>
      </c>
      <c r="N12" s="909">
        <f t="shared" si="11"/>
        <v>0</v>
      </c>
      <c r="AA12" s="1068"/>
      <c r="AB12" s="1068"/>
      <c r="AC12" s="333"/>
      <c r="AD12" s="333"/>
      <c r="AE12" s="256"/>
      <c r="AF12" s="333"/>
      <c r="AG12" s="256"/>
      <c r="AH12" s="333"/>
      <c r="AI12" s="256"/>
      <c r="AJ12" s="441">
        <f t="shared" si="12"/>
        <v>0</v>
      </c>
      <c r="AK12" s="442">
        <f t="shared" si="13"/>
        <v>0</v>
      </c>
      <c r="AL12" s="909">
        <f t="shared" si="14"/>
        <v>0</v>
      </c>
    </row>
    <row r="13" spans="1:38" ht="12.75" customHeight="1">
      <c r="A13" s="155" t="s">
        <v>474</v>
      </c>
      <c r="B13" s="368" t="s">
        <v>475</v>
      </c>
      <c r="C13" s="933">
        <f t="shared" si="10"/>
        <v>1</v>
      </c>
      <c r="D13" s="934">
        <f t="shared" si="0"/>
        <v>3</v>
      </c>
      <c r="E13" s="936">
        <f t="shared" si="1"/>
        <v>4</v>
      </c>
      <c r="F13" s="936">
        <f t="shared" si="2"/>
        <v>1</v>
      </c>
      <c r="G13" s="937">
        <f t="shared" si="3"/>
        <v>3</v>
      </c>
      <c r="H13" s="936">
        <f t="shared" si="4"/>
        <v>0</v>
      </c>
      <c r="I13" s="937">
        <f t="shared" si="5"/>
        <v>0</v>
      </c>
      <c r="J13" s="936">
        <f t="shared" si="6"/>
        <v>0</v>
      </c>
      <c r="K13" s="937">
        <f t="shared" si="7"/>
        <v>0</v>
      </c>
      <c r="L13" s="441">
        <f t="shared" si="8"/>
        <v>1</v>
      </c>
      <c r="M13" s="442">
        <f t="shared" si="9"/>
        <v>3</v>
      </c>
      <c r="N13" s="909">
        <f t="shared" si="11"/>
        <v>4</v>
      </c>
      <c r="AA13" s="334">
        <v>1</v>
      </c>
      <c r="AB13" s="335">
        <v>3</v>
      </c>
      <c r="AC13" s="333">
        <v>4</v>
      </c>
      <c r="AD13" s="333">
        <v>1</v>
      </c>
      <c r="AE13" s="256">
        <v>3</v>
      </c>
      <c r="AF13" s="333"/>
      <c r="AG13" s="256"/>
      <c r="AH13" s="333"/>
      <c r="AI13" s="256"/>
      <c r="AJ13" s="441">
        <f t="shared" si="12"/>
        <v>1</v>
      </c>
      <c r="AK13" s="442">
        <f t="shared" si="13"/>
        <v>3</v>
      </c>
      <c r="AL13" s="909">
        <f t="shared" si="14"/>
        <v>4</v>
      </c>
    </row>
    <row r="14" spans="1:38" ht="12.75" customHeight="1">
      <c r="A14" s="155" t="s">
        <v>476</v>
      </c>
      <c r="B14" s="368" t="s">
        <v>477</v>
      </c>
      <c r="C14" s="933">
        <f t="shared" si="10"/>
        <v>3</v>
      </c>
      <c r="D14" s="934">
        <f t="shared" si="0"/>
        <v>3</v>
      </c>
      <c r="E14" s="936">
        <f t="shared" si="1"/>
        <v>6</v>
      </c>
      <c r="F14" s="936">
        <f t="shared" si="2"/>
        <v>3</v>
      </c>
      <c r="G14" s="937">
        <f t="shared" si="3"/>
        <v>3</v>
      </c>
      <c r="H14" s="936">
        <f t="shared" si="4"/>
        <v>0</v>
      </c>
      <c r="I14" s="937">
        <f t="shared" si="5"/>
        <v>0</v>
      </c>
      <c r="J14" s="936">
        <f t="shared" si="6"/>
        <v>0</v>
      </c>
      <c r="K14" s="937">
        <f t="shared" si="7"/>
        <v>0</v>
      </c>
      <c r="L14" s="441">
        <f t="shared" si="8"/>
        <v>3</v>
      </c>
      <c r="M14" s="442">
        <f t="shared" si="9"/>
        <v>3</v>
      </c>
      <c r="N14" s="909">
        <f t="shared" si="11"/>
        <v>6</v>
      </c>
      <c r="AA14" s="334">
        <v>3</v>
      </c>
      <c r="AB14" s="335">
        <v>3</v>
      </c>
      <c r="AC14" s="333">
        <v>6</v>
      </c>
      <c r="AD14" s="333">
        <v>3</v>
      </c>
      <c r="AE14" s="256">
        <v>3</v>
      </c>
      <c r="AF14" s="333"/>
      <c r="AG14" s="256"/>
      <c r="AH14" s="333"/>
      <c r="AI14" s="256"/>
      <c r="AJ14" s="441">
        <f t="shared" si="12"/>
        <v>3</v>
      </c>
      <c r="AK14" s="442">
        <f t="shared" si="13"/>
        <v>3</v>
      </c>
      <c r="AL14" s="909">
        <f t="shared" si="14"/>
        <v>6</v>
      </c>
    </row>
    <row r="15" spans="1:38" ht="12.75" customHeight="1">
      <c r="A15" s="155" t="s">
        <v>478</v>
      </c>
      <c r="B15" s="368" t="s">
        <v>479</v>
      </c>
      <c r="C15" s="933">
        <f t="shared" si="10"/>
        <v>14</v>
      </c>
      <c r="D15" s="934">
        <f t="shared" si="0"/>
        <v>6</v>
      </c>
      <c r="E15" s="936">
        <f t="shared" si="1"/>
        <v>17</v>
      </c>
      <c r="F15" s="936">
        <f t="shared" si="2"/>
        <v>17</v>
      </c>
      <c r="G15" s="937">
        <f t="shared" si="3"/>
        <v>5</v>
      </c>
      <c r="H15" s="936">
        <f t="shared" si="4"/>
        <v>0</v>
      </c>
      <c r="I15" s="937">
        <f t="shared" si="5"/>
        <v>0</v>
      </c>
      <c r="J15" s="936">
        <f t="shared" si="6"/>
        <v>0</v>
      </c>
      <c r="K15" s="937">
        <f t="shared" si="7"/>
        <v>0</v>
      </c>
      <c r="L15" s="441">
        <f t="shared" si="8"/>
        <v>17</v>
      </c>
      <c r="M15" s="442">
        <f t="shared" si="9"/>
        <v>5</v>
      </c>
      <c r="N15" s="909">
        <f t="shared" si="11"/>
        <v>22</v>
      </c>
      <c r="AA15" s="334">
        <v>14</v>
      </c>
      <c r="AB15" s="335">
        <v>6</v>
      </c>
      <c r="AC15" s="333">
        <v>17</v>
      </c>
      <c r="AD15" s="333">
        <v>17</v>
      </c>
      <c r="AE15" s="256">
        <v>5</v>
      </c>
      <c r="AF15" s="333"/>
      <c r="AG15" s="256"/>
      <c r="AH15" s="333"/>
      <c r="AI15" s="256"/>
      <c r="AJ15" s="441">
        <f t="shared" si="12"/>
        <v>17</v>
      </c>
      <c r="AK15" s="442">
        <f t="shared" si="13"/>
        <v>5</v>
      </c>
      <c r="AL15" s="909">
        <f t="shared" si="14"/>
        <v>22</v>
      </c>
    </row>
    <row r="16" spans="1:38" ht="12.75" customHeight="1">
      <c r="A16" s="155" t="s">
        <v>481</v>
      </c>
      <c r="B16" s="368" t="s">
        <v>482</v>
      </c>
      <c r="C16" s="933">
        <f t="shared" si="10"/>
        <v>2</v>
      </c>
      <c r="D16" s="934">
        <f t="shared" si="0"/>
        <v>2</v>
      </c>
      <c r="E16" s="936">
        <f t="shared" si="1"/>
        <v>4</v>
      </c>
      <c r="F16" s="936">
        <f t="shared" si="2"/>
        <v>4</v>
      </c>
      <c r="G16" s="937">
        <f t="shared" si="3"/>
        <v>2</v>
      </c>
      <c r="H16" s="936">
        <f t="shared" si="4"/>
        <v>0</v>
      </c>
      <c r="I16" s="937">
        <f t="shared" si="5"/>
        <v>0</v>
      </c>
      <c r="J16" s="936">
        <f t="shared" si="6"/>
        <v>0</v>
      </c>
      <c r="K16" s="937">
        <f t="shared" si="7"/>
        <v>0</v>
      </c>
      <c r="L16" s="441">
        <f t="shared" si="8"/>
        <v>4</v>
      </c>
      <c r="M16" s="442">
        <f t="shared" si="9"/>
        <v>2</v>
      </c>
      <c r="N16" s="909">
        <f t="shared" si="11"/>
        <v>6</v>
      </c>
      <c r="AA16" s="334">
        <v>2</v>
      </c>
      <c r="AB16" s="335">
        <v>2</v>
      </c>
      <c r="AC16" s="333">
        <v>4</v>
      </c>
      <c r="AD16" s="333">
        <v>4</v>
      </c>
      <c r="AE16" s="256">
        <v>2</v>
      </c>
      <c r="AF16" s="333"/>
      <c r="AG16" s="256"/>
      <c r="AH16" s="333"/>
      <c r="AI16" s="256"/>
      <c r="AJ16" s="441">
        <f t="shared" si="12"/>
        <v>4</v>
      </c>
      <c r="AK16" s="442">
        <f t="shared" si="13"/>
        <v>2</v>
      </c>
      <c r="AL16" s="909">
        <f t="shared" si="14"/>
        <v>6</v>
      </c>
    </row>
    <row r="17" spans="1:38" ht="12.75" customHeight="1">
      <c r="A17" s="155" t="s">
        <v>632</v>
      </c>
      <c r="B17" s="368" t="s">
        <v>480</v>
      </c>
      <c r="C17" s="933">
        <f t="shared" si="10"/>
        <v>0</v>
      </c>
      <c r="D17" s="934">
        <f t="shared" si="0"/>
        <v>0</v>
      </c>
      <c r="E17" s="936">
        <f t="shared" si="1"/>
        <v>0</v>
      </c>
      <c r="F17" s="936">
        <f t="shared" si="2"/>
        <v>0</v>
      </c>
      <c r="G17" s="937">
        <f t="shared" si="3"/>
        <v>0</v>
      </c>
      <c r="H17" s="936">
        <f t="shared" si="4"/>
        <v>0</v>
      </c>
      <c r="I17" s="937">
        <f t="shared" si="5"/>
        <v>0</v>
      </c>
      <c r="J17" s="936">
        <f t="shared" si="6"/>
        <v>0</v>
      </c>
      <c r="K17" s="937">
        <f t="shared" si="7"/>
        <v>0</v>
      </c>
      <c r="L17" s="441">
        <f t="shared" si="8"/>
        <v>0</v>
      </c>
      <c r="M17" s="442">
        <f t="shared" si="9"/>
        <v>0</v>
      </c>
      <c r="N17" s="909">
        <f t="shared" si="11"/>
        <v>0</v>
      </c>
      <c r="AA17" s="334"/>
      <c r="AB17" s="335"/>
      <c r="AC17" s="333"/>
      <c r="AD17" s="333"/>
      <c r="AE17" s="256"/>
      <c r="AF17" s="333"/>
      <c r="AG17" s="256"/>
      <c r="AH17" s="333"/>
      <c r="AI17" s="256"/>
      <c r="AJ17" s="441">
        <f t="shared" si="12"/>
        <v>0</v>
      </c>
      <c r="AK17" s="442">
        <f t="shared" si="13"/>
        <v>0</v>
      </c>
      <c r="AL17" s="909">
        <f t="shared" si="14"/>
        <v>0</v>
      </c>
    </row>
    <row r="18" spans="1:38" ht="12.75" customHeight="1">
      <c r="A18" s="155" t="s">
        <v>692</v>
      </c>
      <c r="B18" s="368" t="s">
        <v>483</v>
      </c>
      <c r="C18" s="933">
        <f t="shared" si="10"/>
        <v>0</v>
      </c>
      <c r="D18" s="935">
        <f t="shared" si="0"/>
        <v>0</v>
      </c>
      <c r="E18" s="936">
        <f t="shared" si="1"/>
        <v>0</v>
      </c>
      <c r="F18" s="936">
        <f t="shared" si="2"/>
        <v>0</v>
      </c>
      <c r="G18" s="937">
        <f t="shared" si="3"/>
        <v>0</v>
      </c>
      <c r="H18" s="936">
        <f t="shared" si="4"/>
        <v>0</v>
      </c>
      <c r="I18" s="937">
        <f t="shared" si="5"/>
        <v>0</v>
      </c>
      <c r="J18" s="936">
        <f t="shared" si="6"/>
        <v>0</v>
      </c>
      <c r="K18" s="938">
        <f t="shared" si="7"/>
        <v>0</v>
      </c>
      <c r="L18" s="441">
        <f t="shared" si="8"/>
        <v>0</v>
      </c>
      <c r="M18" s="442">
        <f t="shared" si="9"/>
        <v>0</v>
      </c>
      <c r="N18" s="909">
        <f t="shared" si="11"/>
        <v>0</v>
      </c>
      <c r="AA18" s="334"/>
      <c r="AB18" s="336"/>
      <c r="AC18" s="333"/>
      <c r="AD18" s="333"/>
      <c r="AE18" s="256"/>
      <c r="AF18" s="333"/>
      <c r="AG18" s="256"/>
      <c r="AH18" s="333"/>
      <c r="AI18" s="260"/>
      <c r="AJ18" s="441">
        <f t="shared" si="12"/>
        <v>0</v>
      </c>
      <c r="AK18" s="442">
        <f t="shared" si="13"/>
        <v>0</v>
      </c>
      <c r="AL18" s="909">
        <f t="shared" si="14"/>
        <v>0</v>
      </c>
    </row>
    <row r="19" spans="1:38" ht="12.75" customHeight="1">
      <c r="A19" s="155" t="s">
        <v>484</v>
      </c>
      <c r="B19" s="368" t="s">
        <v>485</v>
      </c>
      <c r="C19" s="933">
        <f t="shared" si="10"/>
        <v>0</v>
      </c>
      <c r="D19" s="934">
        <f t="shared" si="0"/>
        <v>0</v>
      </c>
      <c r="E19" s="936">
        <f t="shared" si="1"/>
        <v>0</v>
      </c>
      <c r="F19" s="936">
        <f t="shared" si="2"/>
        <v>0</v>
      </c>
      <c r="G19" s="937">
        <f t="shared" si="3"/>
        <v>0</v>
      </c>
      <c r="H19" s="936">
        <f t="shared" si="4"/>
        <v>0</v>
      </c>
      <c r="I19" s="937">
        <f t="shared" si="5"/>
        <v>0</v>
      </c>
      <c r="J19" s="936">
        <f t="shared" si="6"/>
        <v>0</v>
      </c>
      <c r="K19" s="937">
        <f t="shared" si="7"/>
        <v>0</v>
      </c>
      <c r="L19" s="441">
        <f t="shared" si="8"/>
        <v>0</v>
      </c>
      <c r="M19" s="442">
        <f t="shared" si="9"/>
        <v>0</v>
      </c>
      <c r="N19" s="909">
        <f t="shared" si="11"/>
        <v>0</v>
      </c>
      <c r="AA19" s="334"/>
      <c r="AB19" s="335"/>
      <c r="AC19" s="333"/>
      <c r="AD19" s="333"/>
      <c r="AE19" s="256"/>
      <c r="AF19" s="333"/>
      <c r="AG19" s="256"/>
      <c r="AH19" s="333"/>
      <c r="AI19" s="256"/>
      <c r="AJ19" s="441">
        <f t="shared" si="12"/>
        <v>0</v>
      </c>
      <c r="AK19" s="442">
        <f t="shared" si="13"/>
        <v>0</v>
      </c>
      <c r="AL19" s="909">
        <f t="shared" si="14"/>
        <v>0</v>
      </c>
    </row>
    <row r="20" spans="1:38" ht="12.75" customHeight="1">
      <c r="A20" s="155" t="s">
        <v>693</v>
      </c>
      <c r="B20" s="369" t="s">
        <v>487</v>
      </c>
      <c r="C20" s="933">
        <f t="shared" si="10"/>
        <v>0</v>
      </c>
      <c r="D20" s="934">
        <f t="shared" si="0"/>
        <v>0</v>
      </c>
      <c r="E20" s="936">
        <f t="shared" si="1"/>
        <v>0</v>
      </c>
      <c r="F20" s="936">
        <f t="shared" si="2"/>
        <v>0</v>
      </c>
      <c r="G20" s="937">
        <f t="shared" si="3"/>
        <v>0</v>
      </c>
      <c r="H20" s="936">
        <f t="shared" si="4"/>
        <v>0</v>
      </c>
      <c r="I20" s="937">
        <f t="shared" si="5"/>
        <v>0</v>
      </c>
      <c r="J20" s="936">
        <f t="shared" si="6"/>
        <v>0</v>
      </c>
      <c r="K20" s="937">
        <f t="shared" si="7"/>
        <v>0</v>
      </c>
      <c r="L20" s="441">
        <f t="shared" si="8"/>
        <v>0</v>
      </c>
      <c r="M20" s="442">
        <f t="shared" si="9"/>
        <v>0</v>
      </c>
      <c r="N20" s="909">
        <f t="shared" si="11"/>
        <v>0</v>
      </c>
      <c r="AA20" s="334"/>
      <c r="AB20" s="335"/>
      <c r="AC20" s="333"/>
      <c r="AD20" s="333"/>
      <c r="AE20" s="256"/>
      <c r="AF20" s="333"/>
      <c r="AG20" s="256"/>
      <c r="AH20" s="333"/>
      <c r="AI20" s="256"/>
      <c r="AJ20" s="441">
        <f t="shared" si="12"/>
        <v>0</v>
      </c>
      <c r="AK20" s="442">
        <f t="shared" si="13"/>
        <v>0</v>
      </c>
      <c r="AL20" s="909">
        <f t="shared" si="14"/>
        <v>0</v>
      </c>
    </row>
    <row r="21" spans="1:38" ht="12.75" customHeight="1">
      <c r="A21" s="155" t="s">
        <v>633</v>
      </c>
      <c r="B21" s="369" t="s">
        <v>486</v>
      </c>
      <c r="C21" s="933">
        <f t="shared" si="10"/>
        <v>0</v>
      </c>
      <c r="D21" s="934">
        <f t="shared" si="0"/>
        <v>0</v>
      </c>
      <c r="E21" s="936">
        <f t="shared" si="1"/>
        <v>0</v>
      </c>
      <c r="F21" s="936">
        <f t="shared" si="2"/>
        <v>0</v>
      </c>
      <c r="G21" s="937">
        <f t="shared" si="3"/>
        <v>0</v>
      </c>
      <c r="H21" s="936">
        <f t="shared" si="4"/>
        <v>0</v>
      </c>
      <c r="I21" s="937">
        <f t="shared" si="5"/>
        <v>0</v>
      </c>
      <c r="J21" s="936">
        <f t="shared" si="6"/>
        <v>0</v>
      </c>
      <c r="K21" s="937">
        <f t="shared" si="7"/>
        <v>0</v>
      </c>
      <c r="L21" s="441">
        <f t="shared" si="8"/>
        <v>0</v>
      </c>
      <c r="M21" s="442">
        <f t="shared" si="9"/>
        <v>0</v>
      </c>
      <c r="N21" s="909">
        <f t="shared" si="11"/>
        <v>0</v>
      </c>
      <c r="AA21" s="334"/>
      <c r="AB21" s="335"/>
      <c r="AC21" s="333"/>
      <c r="AD21" s="333"/>
      <c r="AE21" s="256"/>
      <c r="AF21" s="333"/>
      <c r="AG21" s="256"/>
      <c r="AH21" s="333"/>
      <c r="AI21" s="256"/>
      <c r="AJ21" s="441">
        <f t="shared" si="12"/>
        <v>0</v>
      </c>
      <c r="AK21" s="442">
        <f t="shared" si="13"/>
        <v>0</v>
      </c>
      <c r="AL21" s="909">
        <f t="shared" si="14"/>
        <v>0</v>
      </c>
    </row>
    <row r="22" spans="1:38" ht="12.75" customHeight="1">
      <c r="A22" s="155" t="s">
        <v>634</v>
      </c>
      <c r="B22" s="369" t="s">
        <v>488</v>
      </c>
      <c r="C22" s="933">
        <f t="shared" si="10"/>
        <v>0</v>
      </c>
      <c r="D22" s="934">
        <f t="shared" si="0"/>
        <v>0</v>
      </c>
      <c r="E22" s="936">
        <f t="shared" si="1"/>
        <v>0</v>
      </c>
      <c r="F22" s="936">
        <f t="shared" si="2"/>
        <v>0</v>
      </c>
      <c r="G22" s="937">
        <f t="shared" si="3"/>
        <v>0</v>
      </c>
      <c r="H22" s="936">
        <f t="shared" si="4"/>
        <v>0</v>
      </c>
      <c r="I22" s="937">
        <f t="shared" si="5"/>
        <v>0</v>
      </c>
      <c r="J22" s="936">
        <f t="shared" si="6"/>
        <v>0</v>
      </c>
      <c r="K22" s="937">
        <f t="shared" si="7"/>
        <v>0</v>
      </c>
      <c r="L22" s="441">
        <f t="shared" si="8"/>
        <v>0</v>
      </c>
      <c r="M22" s="442">
        <f t="shared" si="9"/>
        <v>0</v>
      </c>
      <c r="N22" s="909">
        <f t="shared" si="11"/>
        <v>0</v>
      </c>
      <c r="AA22" s="334"/>
      <c r="AB22" s="335"/>
      <c r="AC22" s="333"/>
      <c r="AD22" s="333"/>
      <c r="AE22" s="256"/>
      <c r="AF22" s="333"/>
      <c r="AG22" s="256"/>
      <c r="AH22" s="333"/>
      <c r="AI22" s="256"/>
      <c r="AJ22" s="441">
        <f t="shared" si="12"/>
        <v>0</v>
      </c>
      <c r="AK22" s="442">
        <f t="shared" si="13"/>
        <v>0</v>
      </c>
      <c r="AL22" s="909">
        <f t="shared" si="14"/>
        <v>0</v>
      </c>
    </row>
    <row r="23" spans="1:38" ht="12.75" customHeight="1">
      <c r="A23" s="155" t="s">
        <v>489</v>
      </c>
      <c r="B23" s="369" t="s">
        <v>490</v>
      </c>
      <c r="C23" s="933">
        <f t="shared" si="10"/>
        <v>0</v>
      </c>
      <c r="D23" s="934">
        <f t="shared" si="0"/>
        <v>0</v>
      </c>
      <c r="E23" s="936">
        <f t="shared" si="1"/>
        <v>0</v>
      </c>
      <c r="F23" s="936">
        <f t="shared" si="2"/>
        <v>0</v>
      </c>
      <c r="G23" s="937">
        <f t="shared" si="3"/>
        <v>0</v>
      </c>
      <c r="H23" s="936">
        <f t="shared" si="4"/>
        <v>0</v>
      </c>
      <c r="I23" s="937">
        <f t="shared" si="5"/>
        <v>0</v>
      </c>
      <c r="J23" s="936">
        <f t="shared" si="6"/>
        <v>0</v>
      </c>
      <c r="K23" s="937">
        <f t="shared" si="7"/>
        <v>0</v>
      </c>
      <c r="L23" s="441">
        <f t="shared" si="8"/>
        <v>0</v>
      </c>
      <c r="M23" s="442">
        <f t="shared" si="9"/>
        <v>0</v>
      </c>
      <c r="N23" s="909">
        <f t="shared" si="11"/>
        <v>0</v>
      </c>
      <c r="AA23" s="334"/>
      <c r="AB23" s="335"/>
      <c r="AC23" s="333"/>
      <c r="AD23" s="333"/>
      <c r="AE23" s="256"/>
      <c r="AF23" s="333"/>
      <c r="AG23" s="256"/>
      <c r="AH23" s="333"/>
      <c r="AI23" s="256"/>
      <c r="AJ23" s="441">
        <f t="shared" si="12"/>
        <v>0</v>
      </c>
      <c r="AK23" s="442">
        <f t="shared" si="13"/>
        <v>0</v>
      </c>
      <c r="AL23" s="909">
        <f t="shared" si="14"/>
        <v>0</v>
      </c>
    </row>
    <row r="24" spans="1:38" ht="12.75" customHeight="1">
      <c r="A24" s="155" t="s">
        <v>492</v>
      </c>
      <c r="B24" s="368" t="s">
        <v>493</v>
      </c>
      <c r="C24" s="933">
        <f t="shared" si="10"/>
        <v>0</v>
      </c>
      <c r="D24" s="934">
        <f t="shared" si="0"/>
        <v>0</v>
      </c>
      <c r="E24" s="936">
        <f t="shared" si="1"/>
        <v>0</v>
      </c>
      <c r="F24" s="936">
        <f t="shared" si="2"/>
        <v>0</v>
      </c>
      <c r="G24" s="937">
        <f t="shared" si="3"/>
        <v>0</v>
      </c>
      <c r="H24" s="936">
        <f t="shared" si="4"/>
        <v>0</v>
      </c>
      <c r="I24" s="937">
        <f t="shared" si="5"/>
        <v>0</v>
      </c>
      <c r="J24" s="936">
        <f t="shared" si="6"/>
        <v>0</v>
      </c>
      <c r="K24" s="937">
        <f t="shared" si="7"/>
        <v>0</v>
      </c>
      <c r="L24" s="441">
        <f t="shared" si="8"/>
        <v>0</v>
      </c>
      <c r="M24" s="442">
        <f t="shared" si="9"/>
        <v>0</v>
      </c>
      <c r="N24" s="909">
        <f t="shared" si="11"/>
        <v>0</v>
      </c>
      <c r="AA24" s="334"/>
      <c r="AB24" s="335"/>
      <c r="AC24" s="333"/>
      <c r="AD24" s="333"/>
      <c r="AE24" s="256"/>
      <c r="AF24" s="333"/>
      <c r="AG24" s="256"/>
      <c r="AH24" s="333"/>
      <c r="AI24" s="256"/>
      <c r="AJ24" s="441">
        <f t="shared" si="12"/>
        <v>0</v>
      </c>
      <c r="AK24" s="442">
        <f t="shared" si="13"/>
        <v>0</v>
      </c>
      <c r="AL24" s="909">
        <f t="shared" si="14"/>
        <v>0</v>
      </c>
    </row>
    <row r="25" spans="1:38" ht="12.75" customHeight="1">
      <c r="A25" s="155" t="s">
        <v>495</v>
      </c>
      <c r="B25" s="368" t="s">
        <v>496</v>
      </c>
      <c r="C25" s="933">
        <f t="shared" si="10"/>
        <v>1</v>
      </c>
      <c r="D25" s="934">
        <f t="shared" si="0"/>
        <v>0</v>
      </c>
      <c r="E25" s="936">
        <f t="shared" si="1"/>
        <v>1</v>
      </c>
      <c r="F25" s="936">
        <f t="shared" si="2"/>
        <v>1</v>
      </c>
      <c r="G25" s="937">
        <f t="shared" si="3"/>
        <v>0</v>
      </c>
      <c r="H25" s="936">
        <f t="shared" si="4"/>
        <v>0</v>
      </c>
      <c r="I25" s="937">
        <f t="shared" si="5"/>
        <v>0</v>
      </c>
      <c r="J25" s="936">
        <f t="shared" si="6"/>
        <v>0</v>
      </c>
      <c r="K25" s="937">
        <f t="shared" si="7"/>
        <v>0</v>
      </c>
      <c r="L25" s="441">
        <f t="shared" si="8"/>
        <v>1</v>
      </c>
      <c r="M25" s="442">
        <f t="shared" si="9"/>
        <v>0</v>
      </c>
      <c r="N25" s="909">
        <f t="shared" si="11"/>
        <v>1</v>
      </c>
      <c r="AA25" s="334">
        <v>1</v>
      </c>
      <c r="AB25" s="335"/>
      <c r="AC25" s="333">
        <v>1</v>
      </c>
      <c r="AD25" s="333">
        <v>1</v>
      </c>
      <c r="AE25" s="256"/>
      <c r="AF25" s="333"/>
      <c r="AG25" s="256"/>
      <c r="AH25" s="333"/>
      <c r="AI25" s="256"/>
      <c r="AJ25" s="441">
        <f t="shared" si="12"/>
        <v>1</v>
      </c>
      <c r="AK25" s="442">
        <f t="shared" si="13"/>
        <v>0</v>
      </c>
      <c r="AL25" s="909">
        <f t="shared" si="14"/>
        <v>1</v>
      </c>
    </row>
    <row r="26" spans="1:38" ht="12.75" customHeight="1">
      <c r="A26" s="24" t="s">
        <v>498</v>
      </c>
      <c r="B26" s="368" t="s">
        <v>499</v>
      </c>
      <c r="C26" s="933">
        <f t="shared" si="10"/>
        <v>3</v>
      </c>
      <c r="D26" s="934">
        <f t="shared" si="0"/>
        <v>1</v>
      </c>
      <c r="E26" s="936">
        <f t="shared" si="1"/>
        <v>2</v>
      </c>
      <c r="F26" s="936">
        <f t="shared" si="2"/>
        <v>2</v>
      </c>
      <c r="G26" s="937">
        <f t="shared" si="3"/>
        <v>2</v>
      </c>
      <c r="H26" s="936">
        <f t="shared" si="4"/>
        <v>0</v>
      </c>
      <c r="I26" s="937">
        <f t="shared" si="5"/>
        <v>0</v>
      </c>
      <c r="J26" s="936">
        <f t="shared" si="6"/>
        <v>0</v>
      </c>
      <c r="K26" s="937">
        <f t="shared" si="7"/>
        <v>0</v>
      </c>
      <c r="L26" s="441">
        <f t="shared" si="8"/>
        <v>2</v>
      </c>
      <c r="M26" s="442">
        <f t="shared" si="9"/>
        <v>2</v>
      </c>
      <c r="N26" s="909">
        <f t="shared" si="11"/>
        <v>4</v>
      </c>
      <c r="AA26" s="334">
        <v>3</v>
      </c>
      <c r="AB26" s="335">
        <v>1</v>
      </c>
      <c r="AC26" s="333">
        <v>2</v>
      </c>
      <c r="AD26" s="333">
        <v>2</v>
      </c>
      <c r="AE26" s="256">
        <v>2</v>
      </c>
      <c r="AF26" s="333"/>
      <c r="AG26" s="256"/>
      <c r="AH26" s="333"/>
      <c r="AI26" s="256"/>
      <c r="AJ26" s="441">
        <f t="shared" si="12"/>
        <v>2</v>
      </c>
      <c r="AK26" s="442">
        <f t="shared" si="13"/>
        <v>2</v>
      </c>
      <c r="AL26" s="909">
        <f t="shared" si="14"/>
        <v>4</v>
      </c>
    </row>
    <row r="27" spans="1:38" ht="12.75" customHeight="1">
      <c r="A27" s="155" t="s">
        <v>635</v>
      </c>
      <c r="B27" s="369" t="s">
        <v>491</v>
      </c>
      <c r="C27" s="933">
        <f t="shared" si="10"/>
        <v>0</v>
      </c>
      <c r="D27" s="934">
        <f t="shared" si="0"/>
        <v>0</v>
      </c>
      <c r="E27" s="936">
        <f t="shared" si="1"/>
        <v>0</v>
      </c>
      <c r="F27" s="936">
        <f t="shared" si="2"/>
        <v>0</v>
      </c>
      <c r="G27" s="937">
        <f t="shared" si="3"/>
        <v>0</v>
      </c>
      <c r="H27" s="936">
        <f t="shared" si="4"/>
        <v>0</v>
      </c>
      <c r="I27" s="937">
        <f t="shared" si="5"/>
        <v>0</v>
      </c>
      <c r="J27" s="936">
        <f t="shared" si="6"/>
        <v>0</v>
      </c>
      <c r="K27" s="937">
        <f t="shared" si="7"/>
        <v>0</v>
      </c>
      <c r="L27" s="441">
        <f t="shared" si="8"/>
        <v>0</v>
      </c>
      <c r="M27" s="442">
        <f t="shared" si="9"/>
        <v>0</v>
      </c>
      <c r="N27" s="909">
        <f t="shared" si="11"/>
        <v>0</v>
      </c>
      <c r="AA27" s="334"/>
      <c r="AB27" s="335"/>
      <c r="AC27" s="333"/>
      <c r="AD27" s="333"/>
      <c r="AE27" s="256"/>
      <c r="AF27" s="333"/>
      <c r="AG27" s="256"/>
      <c r="AH27" s="333"/>
      <c r="AI27" s="256"/>
      <c r="AJ27" s="441">
        <f t="shared" si="12"/>
        <v>0</v>
      </c>
      <c r="AK27" s="442">
        <f t="shared" si="13"/>
        <v>0</v>
      </c>
      <c r="AL27" s="909">
        <f t="shared" si="14"/>
        <v>0</v>
      </c>
    </row>
    <row r="28" spans="1:38" ht="12.75" customHeight="1">
      <c r="A28" s="155" t="s">
        <v>694</v>
      </c>
      <c r="B28" s="369" t="s">
        <v>494</v>
      </c>
      <c r="C28" s="933">
        <f t="shared" si="10"/>
        <v>0</v>
      </c>
      <c r="D28" s="934">
        <f t="shared" si="0"/>
        <v>0</v>
      </c>
      <c r="E28" s="936">
        <f t="shared" si="1"/>
        <v>0</v>
      </c>
      <c r="F28" s="936">
        <f t="shared" si="2"/>
        <v>0</v>
      </c>
      <c r="G28" s="937">
        <f t="shared" si="3"/>
        <v>0</v>
      </c>
      <c r="H28" s="936">
        <f t="shared" si="4"/>
        <v>0</v>
      </c>
      <c r="I28" s="937">
        <f t="shared" si="5"/>
        <v>0</v>
      </c>
      <c r="J28" s="936">
        <f t="shared" si="6"/>
        <v>0</v>
      </c>
      <c r="K28" s="937">
        <f t="shared" si="7"/>
        <v>0</v>
      </c>
      <c r="L28" s="441">
        <f t="shared" si="8"/>
        <v>0</v>
      </c>
      <c r="M28" s="442">
        <f t="shared" si="9"/>
        <v>0</v>
      </c>
      <c r="N28" s="909">
        <f t="shared" si="11"/>
        <v>0</v>
      </c>
      <c r="AA28" s="334"/>
      <c r="AB28" s="335"/>
      <c r="AC28" s="333"/>
      <c r="AD28" s="333"/>
      <c r="AE28" s="256"/>
      <c r="AF28" s="333"/>
      <c r="AG28" s="256"/>
      <c r="AH28" s="333"/>
      <c r="AI28" s="256"/>
      <c r="AJ28" s="441">
        <f t="shared" si="12"/>
        <v>0</v>
      </c>
      <c r="AK28" s="442">
        <f t="shared" si="13"/>
        <v>0</v>
      </c>
      <c r="AL28" s="909">
        <f t="shared" si="14"/>
        <v>0</v>
      </c>
    </row>
    <row r="29" spans="1:38" ht="12.75" customHeight="1">
      <c r="A29" s="155" t="s">
        <v>636</v>
      </c>
      <c r="B29" s="368" t="s">
        <v>497</v>
      </c>
      <c r="C29" s="933">
        <f t="shared" si="10"/>
        <v>0</v>
      </c>
      <c r="D29" s="934">
        <f t="shared" si="0"/>
        <v>0</v>
      </c>
      <c r="E29" s="936">
        <f t="shared" si="1"/>
        <v>0</v>
      </c>
      <c r="F29" s="936">
        <f t="shared" si="2"/>
        <v>0</v>
      </c>
      <c r="G29" s="937">
        <f t="shared" si="3"/>
        <v>0</v>
      </c>
      <c r="H29" s="936">
        <f t="shared" si="4"/>
        <v>0</v>
      </c>
      <c r="I29" s="937">
        <f t="shared" si="5"/>
        <v>0</v>
      </c>
      <c r="J29" s="936">
        <f t="shared" si="6"/>
        <v>0</v>
      </c>
      <c r="K29" s="937">
        <f t="shared" si="7"/>
        <v>0</v>
      </c>
      <c r="L29" s="441">
        <f t="shared" si="8"/>
        <v>0</v>
      </c>
      <c r="M29" s="442">
        <f t="shared" si="9"/>
        <v>0</v>
      </c>
      <c r="N29" s="909">
        <f t="shared" si="11"/>
        <v>0</v>
      </c>
      <c r="AA29" s="334"/>
      <c r="AB29" s="335"/>
      <c r="AC29" s="333"/>
      <c r="AD29" s="333"/>
      <c r="AE29" s="256"/>
      <c r="AF29" s="333"/>
      <c r="AG29" s="256"/>
      <c r="AH29" s="333"/>
      <c r="AI29" s="256"/>
      <c r="AJ29" s="441">
        <f t="shared" si="12"/>
        <v>0</v>
      </c>
      <c r="AK29" s="442">
        <f t="shared" si="13"/>
        <v>0</v>
      </c>
      <c r="AL29" s="909">
        <f t="shared" si="14"/>
        <v>0</v>
      </c>
    </row>
    <row r="30" spans="1:38" ht="12.75" customHeight="1" thickBot="1">
      <c r="A30" s="155" t="s">
        <v>695</v>
      </c>
      <c r="B30" s="368" t="s">
        <v>500</v>
      </c>
      <c r="C30" s="933">
        <f t="shared" si="10"/>
        <v>0</v>
      </c>
      <c r="D30" s="934">
        <f t="shared" si="0"/>
        <v>0</v>
      </c>
      <c r="E30" s="936">
        <f t="shared" si="1"/>
        <v>0</v>
      </c>
      <c r="F30" s="936">
        <f t="shared" si="2"/>
        <v>0</v>
      </c>
      <c r="G30" s="937">
        <f t="shared" si="3"/>
        <v>0</v>
      </c>
      <c r="H30" s="936">
        <f t="shared" si="4"/>
        <v>0</v>
      </c>
      <c r="I30" s="937">
        <f t="shared" si="5"/>
        <v>0</v>
      </c>
      <c r="J30" s="936">
        <f t="shared" si="6"/>
        <v>0</v>
      </c>
      <c r="K30" s="937">
        <f t="shared" si="7"/>
        <v>0</v>
      </c>
      <c r="L30" s="441">
        <f t="shared" si="8"/>
        <v>0</v>
      </c>
      <c r="M30" s="442">
        <f t="shared" si="9"/>
        <v>0</v>
      </c>
      <c r="N30" s="909">
        <f t="shared" si="11"/>
        <v>0</v>
      </c>
      <c r="AA30" s="334"/>
      <c r="AB30" s="335"/>
      <c r="AC30" s="333"/>
      <c r="AD30" s="333"/>
      <c r="AE30" s="256"/>
      <c r="AF30" s="333"/>
      <c r="AG30" s="256"/>
      <c r="AH30" s="333"/>
      <c r="AI30" s="256"/>
      <c r="AJ30" s="441">
        <f t="shared" si="12"/>
        <v>0</v>
      </c>
      <c r="AK30" s="442">
        <f t="shared" si="13"/>
        <v>0</v>
      </c>
      <c r="AL30" s="909">
        <f t="shared" si="14"/>
        <v>0</v>
      </c>
    </row>
    <row r="31" spans="1:38" ht="15.75" customHeight="1" thickBot="1" thickTop="1">
      <c r="A31" s="304" t="s">
        <v>82</v>
      </c>
      <c r="B31" s="16"/>
      <c r="C31" s="443">
        <f aca="true" t="shared" si="15" ref="C31:M31">SUM(C6:C30)</f>
        <v>34</v>
      </c>
      <c r="D31" s="444">
        <f t="shared" si="15"/>
        <v>27</v>
      </c>
      <c r="E31" s="443">
        <f t="shared" si="15"/>
        <v>43</v>
      </c>
      <c r="F31" s="443">
        <f t="shared" si="15"/>
        <v>35</v>
      </c>
      <c r="G31" s="444">
        <f t="shared" si="15"/>
        <v>26</v>
      </c>
      <c r="H31" s="443">
        <f t="shared" si="15"/>
        <v>0</v>
      </c>
      <c r="I31" s="444">
        <f t="shared" si="15"/>
        <v>0</v>
      </c>
      <c r="J31" s="443">
        <f t="shared" si="15"/>
        <v>0</v>
      </c>
      <c r="K31" s="444">
        <f t="shared" si="15"/>
        <v>0</v>
      </c>
      <c r="L31" s="443">
        <f t="shared" si="15"/>
        <v>35</v>
      </c>
      <c r="M31" s="445">
        <f t="shared" si="15"/>
        <v>26</v>
      </c>
      <c r="N31" s="909"/>
      <c r="AA31" s="443">
        <f aca="true" t="shared" si="16" ref="AA31:AK31">SUM(AA6:AA30)</f>
        <v>34</v>
      </c>
      <c r="AB31" s="444">
        <f t="shared" si="16"/>
        <v>27</v>
      </c>
      <c r="AC31" s="443">
        <f t="shared" si="16"/>
        <v>43</v>
      </c>
      <c r="AD31" s="443">
        <f t="shared" si="16"/>
        <v>35</v>
      </c>
      <c r="AE31" s="444">
        <f t="shared" si="16"/>
        <v>26</v>
      </c>
      <c r="AF31" s="443">
        <f t="shared" si="16"/>
        <v>0</v>
      </c>
      <c r="AG31" s="444">
        <f t="shared" si="16"/>
        <v>0</v>
      </c>
      <c r="AH31" s="443">
        <f t="shared" si="16"/>
        <v>0</v>
      </c>
      <c r="AI31" s="444">
        <f t="shared" si="16"/>
        <v>0</v>
      </c>
      <c r="AJ31" s="443">
        <f t="shared" si="16"/>
        <v>35</v>
      </c>
      <c r="AK31" s="445">
        <f t="shared" si="16"/>
        <v>26</v>
      </c>
      <c r="AL31" s="909"/>
    </row>
    <row r="32" spans="1:37" ht="15.75" customHeight="1" hidden="1">
      <c r="A32" s="856"/>
      <c r="B32" s="857"/>
      <c r="C32" s="858"/>
      <c r="D32" s="858"/>
      <c r="E32" s="858"/>
      <c r="F32" s="858"/>
      <c r="G32" s="858"/>
      <c r="H32" s="858"/>
      <c r="I32" s="858"/>
      <c r="J32" s="858"/>
      <c r="K32" s="858"/>
      <c r="L32" s="858"/>
      <c r="M32" s="858"/>
      <c r="AA32" s="858"/>
      <c r="AB32" s="858"/>
      <c r="AC32" s="858"/>
      <c r="AD32" s="858"/>
      <c r="AE32" s="858"/>
      <c r="AF32" s="858"/>
      <c r="AG32" s="858"/>
      <c r="AH32" s="858"/>
      <c r="AI32" s="858"/>
      <c r="AJ32" s="858"/>
      <c r="AK32" s="858"/>
    </row>
    <row r="33" ht="15.75" customHeight="1">
      <c r="A33" s="864">
        <f>IF(A200="","    ATTENZIONE: IL CAMPO NOTE E' OBBLIGATORIO","")</f>
      </c>
    </row>
    <row r="34" ht="15.75" customHeight="1" hidden="1"/>
    <row r="35" ht="15.75" customHeight="1" hidden="1"/>
    <row r="36" ht="15.75" customHeight="1" hidden="1"/>
    <row r="37" ht="15.75" customHeight="1" hidden="1"/>
    <row r="38" ht="15.75" customHeight="1" hidden="1"/>
    <row r="39" ht="15.75" customHeight="1" hidden="1"/>
    <row r="40" ht="15.75" customHeight="1" hidden="1"/>
    <row r="41" ht="15.75" customHeight="1" hidden="1"/>
    <row r="42" ht="15.75" customHeight="1" hidden="1"/>
    <row r="43" ht="15.75" customHeight="1" hidden="1"/>
    <row r="44" ht="15.75" customHeight="1" hidden="1"/>
    <row r="45" ht="15.75" customHeight="1" hidden="1"/>
    <row r="46" ht="15.75" customHeight="1" hidden="1"/>
    <row r="47" ht="15.75" customHeight="1" hidden="1"/>
    <row r="48" ht="15.75" customHeight="1" hidden="1"/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  <row r="122" ht="15.75" customHeight="1" hidden="1"/>
    <row r="123" ht="15.75" customHeight="1" hidden="1"/>
    <row r="124" ht="15.75" customHeight="1" hidden="1"/>
    <row r="125" ht="15.75" customHeight="1" hidden="1"/>
    <row r="126" ht="15.75" customHeight="1" hidden="1"/>
    <row r="127" ht="15.75" customHeight="1" hidden="1"/>
    <row r="128" ht="15.75" customHeight="1" hidden="1"/>
    <row r="129" ht="15.75" customHeight="1" hidden="1"/>
    <row r="130" ht="15.75" customHeight="1" hidden="1"/>
    <row r="131" ht="15.75" customHeight="1" hidden="1"/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 hidden="1"/>
    <row r="141" ht="15.75" customHeight="1" hidden="1"/>
    <row r="142" ht="15.75" customHeight="1" hidden="1"/>
    <row r="143" ht="15.75" customHeight="1" hidden="1"/>
    <row r="144" ht="15.75" customHeight="1" hidden="1"/>
    <row r="145" ht="15.75" customHeight="1" hidden="1"/>
    <row r="146" ht="15.75" customHeight="1" hidden="1"/>
    <row r="147" ht="15.75" customHeight="1" hidden="1"/>
    <row r="148" ht="15.75" customHeight="1" hidden="1"/>
    <row r="149" ht="15.75" customHeight="1" hidden="1"/>
    <row r="150" ht="15.75" customHeight="1" hidden="1"/>
    <row r="151" ht="15.75" customHeight="1" hidden="1"/>
    <row r="152" ht="15.75" customHeight="1" hidden="1"/>
    <row r="153" ht="15.75" customHeight="1" hidden="1"/>
    <row r="154" ht="15.75" customHeight="1" hidden="1"/>
    <row r="155" ht="15.75" customHeight="1" hidden="1"/>
    <row r="156" ht="15.75" customHeight="1" hidden="1"/>
    <row r="157" ht="15.75" customHeight="1" hidden="1"/>
    <row r="158" ht="15.75" customHeight="1" hidden="1"/>
    <row r="159" ht="15.75" customHeight="1" hidden="1"/>
    <row r="160" ht="15.75" customHeight="1" hidden="1"/>
    <row r="161" ht="15.75" customHeight="1" hidden="1"/>
    <row r="162" ht="15.75" customHeight="1" hidden="1"/>
    <row r="163" ht="15.75" customHeight="1" hidden="1"/>
    <row r="164" ht="15.75" customHeight="1" hidden="1"/>
    <row r="165" ht="15.75" customHeight="1" hidden="1"/>
    <row r="166" ht="15.75" customHeight="1" hidden="1"/>
    <row r="167" ht="15.75" customHeight="1" hidden="1"/>
    <row r="168" ht="15.75" customHeight="1" hidden="1"/>
    <row r="169" ht="15.75" customHeight="1" hidden="1"/>
    <row r="170" ht="15.75" customHeight="1" hidden="1"/>
    <row r="171" ht="15.75" customHeight="1" hidden="1"/>
    <row r="172" ht="15.75" customHeight="1" hidden="1"/>
    <row r="173" ht="15.75" customHeight="1" hidden="1"/>
    <row r="174" ht="15.75" customHeight="1" hidden="1"/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/>
    <row r="188" ht="15.75" customHeight="1" hidden="1"/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 thickBot="1"/>
    <row r="199" spans="1:37" ht="15.75" customHeight="1">
      <c r="A199" s="1136" t="str">
        <f>"NOTE: Indicare il provvedimento di riferimento della dotazione organica in vigore al 31 dicembre "&amp;$M$1</f>
        <v>NOTE: Indicare il provvedimento di riferimento della dotazione organica in vigore al 31 dicembre 2016</v>
      </c>
      <c r="B199" s="1137"/>
      <c r="C199" s="1137"/>
      <c r="D199" s="1137"/>
      <c r="E199" s="1137"/>
      <c r="F199" s="1137"/>
      <c r="G199" s="1137"/>
      <c r="H199" s="1137"/>
      <c r="I199" s="1137"/>
      <c r="J199" s="1137"/>
      <c r="K199" s="1137"/>
      <c r="L199" s="1137"/>
      <c r="M199" s="1137"/>
      <c r="N199" s="1137"/>
      <c r="O199" s="1137"/>
      <c r="P199" s="1137"/>
      <c r="Q199" s="1137"/>
      <c r="R199" s="1137"/>
      <c r="S199" s="1137"/>
      <c r="T199" s="1137"/>
      <c r="U199" s="1137"/>
      <c r="V199" s="1137"/>
      <c r="W199" s="1137"/>
      <c r="X199" s="1137"/>
      <c r="Y199" s="1137"/>
      <c r="Z199" s="1137"/>
      <c r="AA199" s="1137"/>
      <c r="AB199" s="1137"/>
      <c r="AC199" s="1137"/>
      <c r="AD199" s="1137"/>
      <c r="AE199" s="1137"/>
      <c r="AF199" s="1137"/>
      <c r="AG199" s="1137"/>
      <c r="AH199" s="1137"/>
      <c r="AI199" s="1137"/>
      <c r="AJ199" s="1137"/>
      <c r="AK199" s="1137"/>
    </row>
    <row r="200" spans="1:37" ht="45" customHeight="1">
      <c r="A200" s="1133" t="s">
        <v>770</v>
      </c>
      <c r="B200" s="1134"/>
      <c r="C200" s="1134"/>
      <c r="D200" s="1134"/>
      <c r="E200" s="1134"/>
      <c r="F200" s="1134"/>
      <c r="G200" s="1134"/>
      <c r="H200" s="1134"/>
      <c r="I200" s="1134"/>
      <c r="J200" s="1134"/>
      <c r="K200" s="1134"/>
      <c r="L200" s="1134"/>
      <c r="M200" s="1134"/>
      <c r="N200" s="1134"/>
      <c r="O200" s="1134"/>
      <c r="P200" s="1134"/>
      <c r="Q200" s="1134"/>
      <c r="R200" s="1134"/>
      <c r="S200" s="1134"/>
      <c r="T200" s="1134"/>
      <c r="U200" s="1134"/>
      <c r="V200" s="1134"/>
      <c r="W200" s="1134"/>
      <c r="X200" s="1134"/>
      <c r="Y200" s="1134"/>
      <c r="Z200" s="1134"/>
      <c r="AA200" s="1134"/>
      <c r="AB200" s="1134"/>
      <c r="AC200" s="1134"/>
      <c r="AD200" s="1134"/>
      <c r="AE200" s="1134"/>
      <c r="AF200" s="1134"/>
      <c r="AG200" s="1134"/>
      <c r="AH200" s="1134"/>
      <c r="AI200" s="1134"/>
      <c r="AJ200" s="1134"/>
      <c r="AK200" s="1135"/>
    </row>
    <row r="201" ht="11.25">
      <c r="A201" s="830" t="str">
        <f>"(*) inserire i dati comunicati nella tab.1 (colonna presenti al 31/12/"&amp;M1-1&amp;") della rilevazione dell'anno precedente"</f>
        <v>(*) inserire i dati comunicati nella tab.1 (colonna presenti al 31/12/2015) della rilevazione dell'anno precedente</v>
      </c>
    </row>
    <row r="202" ht="11.25">
      <c r="A202" s="5" t="s">
        <v>161</v>
      </c>
    </row>
    <row r="203" spans="4:28" ht="12.75">
      <c r="D203" s="831" t="str">
        <f>IF(LEN(A200)&gt;250,"ATTENZIONE: Il numero massimo di caratteri consentiti nel campo note è 250","")</f>
        <v>ATTENZIONE: Il numero massimo di caratteri consentiti nel campo note è 250</v>
      </c>
      <c r="AB203" s="831">
        <f>IF(LEN(Y200)&gt;250,"ATTENZIONE: Il numero massimo di caratteri consentiti nel campo note è 250","")</f>
      </c>
    </row>
  </sheetData>
  <sheetProtection password="EA98" sheet="1" formatColumns="0" selectLockedCells="1"/>
  <mergeCells count="7">
    <mergeCell ref="AF2:AK2"/>
    <mergeCell ref="AA3:AK3"/>
    <mergeCell ref="A200:AK200"/>
    <mergeCell ref="A199:AK199"/>
    <mergeCell ref="C3:M3"/>
    <mergeCell ref="B4:B5"/>
    <mergeCell ref="H2:M2"/>
  </mergeCells>
  <conditionalFormatting sqref="A6:M30">
    <cfRule type="expression" priority="5" dxfId="3" stopIfTrue="1">
      <formula>$N6&gt;0</formula>
    </cfRule>
  </conditionalFormatting>
  <conditionalFormatting sqref="AA6:AK30">
    <cfRule type="expression" priority="4" dxfId="3" stopIfTrue="1">
      <formula>$N6&gt;0</formula>
    </cfRule>
  </conditionalFormatting>
  <conditionalFormatting sqref="AA8:AB11">
    <cfRule type="expression" priority="3" dxfId="3" stopIfTrue="1">
      <formula>$N8&gt;0</formula>
    </cfRule>
  </conditionalFormatting>
  <conditionalFormatting sqref="AC7:AI26 AA17:AB26">
    <cfRule type="expression" priority="2" dxfId="3" stopIfTrue="1">
      <formula>$N7&gt;0</formula>
    </cfRule>
  </conditionalFormatting>
  <conditionalFormatting sqref="AA7:AB7 AA13:AB16">
    <cfRule type="expression" priority="1" dxfId="3" stopIfTrue="1">
      <formula>$N6&gt;0</formula>
    </cfRule>
  </conditionalFormatting>
  <printOptions horizontalCentered="1" verticalCentered="1"/>
  <pageMargins left="0" right="0" top="0.15748031496062992" bottom="0.15748031496062992" header="0.1968503937007874" footer="0.1968503937007874"/>
  <pageSetup horizontalDpi="300" verticalDpi="300" orientation="landscape" paperSize="9" scale="8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30"/>
  <dimension ref="A1:K30"/>
  <sheetViews>
    <sheetView showGridLines="0" zoomScalePageLayoutView="0" workbookViewId="0" topLeftCell="A1">
      <pane ySplit="5" topLeftCell="A6" activePane="bottomLeft" state="frozen"/>
      <selection pane="topLeft" activeCell="E11" sqref="E11"/>
      <selection pane="bottomLeft" activeCell="B5" sqref="B5"/>
    </sheetView>
  </sheetViews>
  <sheetFormatPr defaultColWidth="9.33203125" defaultRowHeight="10.5"/>
  <cols>
    <col min="1" max="1" width="57.83203125" style="5" customWidth="1"/>
    <col min="2" max="2" width="11.33203125" style="7" customWidth="1"/>
    <col min="3" max="3" width="21.33203125" style="427" customWidth="1"/>
    <col min="4" max="5" width="21.33203125" style="7" customWidth="1"/>
    <col min="6" max="6" width="21.33203125" style="370" customWidth="1"/>
    <col min="7" max="7" width="21.33203125" style="7" customWidth="1"/>
    <col min="8" max="8" width="9.33203125" style="108" customWidth="1"/>
  </cols>
  <sheetData>
    <row r="1" spans="1:11" s="5" customFormat="1" ht="43.5" customHeight="1">
      <c r="A1" s="1155" t="str">
        <f>'t1'!A1</f>
        <v>COMPARTO AFAM - anno 2016</v>
      </c>
      <c r="B1" s="1155"/>
      <c r="C1" s="1155"/>
      <c r="D1" s="1155"/>
      <c r="E1" s="1155"/>
      <c r="F1" s="1155"/>
      <c r="G1" s="1155"/>
      <c r="I1" s="3"/>
      <c r="K1"/>
    </row>
    <row r="2" spans="3:11" s="5" customFormat="1" ht="12.75" customHeight="1">
      <c r="C2" s="424"/>
      <c r="D2" s="1237"/>
      <c r="E2" s="1237"/>
      <c r="F2" s="1237"/>
      <c r="G2" s="1237"/>
      <c r="H2" s="324"/>
      <c r="I2" s="3"/>
      <c r="K2"/>
    </row>
    <row r="3" spans="1:7" s="5" customFormat="1" ht="21" customHeight="1">
      <c r="A3" s="197" t="s">
        <v>312</v>
      </c>
      <c r="B3" s="7"/>
      <c r="C3" s="424"/>
      <c r="F3" s="371"/>
      <c r="G3" s="7"/>
    </row>
    <row r="4" spans="1:7" ht="53.25" customHeight="1">
      <c r="A4" s="183" t="s">
        <v>244</v>
      </c>
      <c r="B4" s="185" t="s">
        <v>206</v>
      </c>
      <c r="C4" s="425" t="str">
        <f>"Presenti 31.12."&amp;'t1'!M1&amp;" (Tab T1) uomini+donne della tabella T1"</f>
        <v>Presenti 31.12.2016 (Tab T1) uomini+donne della tabella T1</v>
      </c>
      <c r="D4" s="184" t="s">
        <v>307</v>
      </c>
      <c r="E4" s="184" t="s">
        <v>310</v>
      </c>
      <c r="F4" s="428" t="s">
        <v>311</v>
      </c>
      <c r="G4" s="184" t="s">
        <v>313</v>
      </c>
    </row>
    <row r="5" spans="1:8" s="201" customFormat="1" ht="10.5">
      <c r="A5" s="182"/>
      <c r="B5" s="195"/>
      <c r="C5" s="426" t="s">
        <v>208</v>
      </c>
      <c r="D5" s="199" t="s">
        <v>209</v>
      </c>
      <c r="E5" s="199" t="s">
        <v>210</v>
      </c>
      <c r="F5" s="429" t="s">
        <v>211</v>
      </c>
      <c r="G5" s="199"/>
      <c r="H5" s="108"/>
    </row>
    <row r="6" spans="1:7" ht="12.75">
      <c r="A6" s="137" t="str">
        <f>'t1'!A6</f>
        <v>DIRIGENTE SCOLASTICO</v>
      </c>
      <c r="B6" s="326" t="str">
        <f>'t1'!B6</f>
        <v>0D0158</v>
      </c>
      <c r="C6" s="747">
        <f>('t1'!L6+'t1'!M6)</f>
        <v>0</v>
      </c>
      <c r="D6" s="351">
        <f>'t5'!S7+'t5'!T7</f>
        <v>0</v>
      </c>
      <c r="E6" s="351">
        <f>'t4'!AB6</f>
        <v>0</v>
      </c>
      <c r="F6" s="352">
        <f>'t12'!C6</f>
        <v>0</v>
      </c>
      <c r="G6" s="372" t="str">
        <f>IF(OR(AND(NOT(C6),NOT(D6),NOT(E6),NOT(F6)),AND((OR(C6,D6,E6)),F6)),"OK","ERRORE")</f>
        <v>OK</v>
      </c>
    </row>
    <row r="7" spans="1:7" ht="12.75">
      <c r="A7" s="137" t="str">
        <f>'t1'!A7</f>
        <v>PROFESSORI DI PRIMA FASCIA</v>
      </c>
      <c r="B7" s="326" t="str">
        <f>'t1'!B7</f>
        <v>018P01</v>
      </c>
      <c r="C7" s="747">
        <f>('t1'!L7+'t1'!M7)</f>
        <v>9</v>
      </c>
      <c r="D7" s="351">
        <f>'t5'!S8+'t5'!T8</f>
        <v>1</v>
      </c>
      <c r="E7" s="351">
        <f>'t4'!AB7</f>
        <v>0</v>
      </c>
      <c r="F7" s="352">
        <f>'t12'!C7</f>
        <v>0</v>
      </c>
      <c r="G7" s="372" t="str">
        <f aca="true" t="shared" si="0" ref="G7:G30">IF(OR(AND(NOT(C7),NOT(D7),NOT(E7),NOT(F7)),AND((OR(C7,D7,E7)),F7)),"OK","ERRORE")</f>
        <v>ERRORE</v>
      </c>
    </row>
    <row r="8" spans="1:7" ht="12.75">
      <c r="A8" s="137" t="str">
        <f>'t1'!A8</f>
        <v>PROFESSORI DI SECONDA FASCIA</v>
      </c>
      <c r="B8" s="326" t="str">
        <f>'t1'!B8</f>
        <v>016P02</v>
      </c>
      <c r="C8" s="747">
        <f>('t1'!L8+'t1'!M8)</f>
        <v>7</v>
      </c>
      <c r="D8" s="351">
        <f>'t5'!S9+'t5'!T9</f>
        <v>2</v>
      </c>
      <c r="E8" s="351">
        <f>'t4'!AB8</f>
        <v>0</v>
      </c>
      <c r="F8" s="352">
        <f>'t12'!C8</f>
        <v>0</v>
      </c>
      <c r="G8" s="372" t="str">
        <f t="shared" si="0"/>
        <v>ERRORE</v>
      </c>
    </row>
    <row r="9" spans="1:7" ht="12.75">
      <c r="A9" s="137" t="str">
        <f>'t1'!A9</f>
        <v>DIRETTORE AMMINISTRATIVO EP2</v>
      </c>
      <c r="B9" s="326" t="str">
        <f>'t1'!B9</f>
        <v>013504</v>
      </c>
      <c r="C9" s="747">
        <f>('t1'!L9+'t1'!M9)</f>
        <v>1</v>
      </c>
      <c r="D9" s="351">
        <f>'t5'!S10+'t5'!T10</f>
        <v>0</v>
      </c>
      <c r="E9" s="351">
        <f>'t4'!AB9</f>
        <v>0</v>
      </c>
      <c r="F9" s="352">
        <f>'t12'!C9</f>
        <v>0</v>
      </c>
      <c r="G9" s="372" t="str">
        <f t="shared" si="0"/>
        <v>ERRORE</v>
      </c>
    </row>
    <row r="10" spans="1:7" ht="12.75">
      <c r="A10" s="137" t="str">
        <f>'t1'!A10</f>
        <v>DIRETTORE DELL UFFICIO DI RAGIONERIA (EP1)</v>
      </c>
      <c r="B10" s="326" t="str">
        <f>'t1'!B10</f>
        <v>013159</v>
      </c>
      <c r="C10" s="747">
        <f>('t1'!L10+'t1'!M10)</f>
        <v>1</v>
      </c>
      <c r="D10" s="351">
        <f>'t5'!S11+'t5'!T11</f>
        <v>0</v>
      </c>
      <c r="E10" s="351">
        <f>'t4'!AB10</f>
        <v>0</v>
      </c>
      <c r="F10" s="352">
        <f>'t12'!C10</f>
        <v>0</v>
      </c>
      <c r="G10" s="372" t="str">
        <f t="shared" si="0"/>
        <v>ERRORE</v>
      </c>
    </row>
    <row r="11" spans="1:7" ht="12.75">
      <c r="A11" s="137" t="str">
        <f>'t1'!A11</f>
        <v>COORDINATORE DI BIBLIOTECA TECNICO E AMMINISTRATIVO(D)</v>
      </c>
      <c r="B11" s="326" t="str">
        <f>'t1'!B11</f>
        <v>013DTE</v>
      </c>
      <c r="C11" s="747">
        <f>('t1'!L11+'t1'!M11)</f>
        <v>0</v>
      </c>
      <c r="D11" s="351">
        <f>'t5'!S12+'t5'!T12</f>
        <v>0</v>
      </c>
      <c r="E11" s="351">
        <f>'t4'!AB11</f>
        <v>0</v>
      </c>
      <c r="F11" s="352">
        <f>'t12'!C11</f>
        <v>0</v>
      </c>
      <c r="G11" s="372" t="str">
        <f t="shared" si="0"/>
        <v>OK</v>
      </c>
    </row>
    <row r="12" spans="1:7" ht="12.75">
      <c r="A12" s="137" t="str">
        <f>'t1'!A12</f>
        <v>COLLABORATORE TEC. AMMIN. DI BIBLIOT. E DI LAB. (C)</v>
      </c>
      <c r="B12" s="326" t="str">
        <f>'t1'!B12</f>
        <v>013CTE</v>
      </c>
      <c r="C12" s="747">
        <f>('t1'!L12+'t1'!M12)</f>
        <v>0</v>
      </c>
      <c r="D12" s="351">
        <f>'t5'!S13+'t5'!T13</f>
        <v>0</v>
      </c>
      <c r="E12" s="351">
        <f>'t4'!AB12</f>
        <v>0</v>
      </c>
      <c r="F12" s="352">
        <f>'t12'!C12</f>
        <v>0</v>
      </c>
      <c r="G12" s="372" t="str">
        <f t="shared" si="0"/>
        <v>OK</v>
      </c>
    </row>
    <row r="13" spans="1:7" ht="12.75">
      <c r="A13" s="137" t="str">
        <f>'t1'!A13</f>
        <v>ASSISTENTE AMMINISTRATIVO (B)</v>
      </c>
      <c r="B13" s="326" t="str">
        <f>'t1'!B13</f>
        <v>012117</v>
      </c>
      <c r="C13" s="747">
        <f>('t1'!L13+'t1'!M13)</f>
        <v>4</v>
      </c>
      <c r="D13" s="351">
        <f>'t5'!S14+'t5'!T14</f>
        <v>0</v>
      </c>
      <c r="E13" s="351">
        <f>'t4'!AB13</f>
        <v>0</v>
      </c>
      <c r="F13" s="352">
        <f>'t12'!C13</f>
        <v>0</v>
      </c>
      <c r="G13" s="372" t="str">
        <f t="shared" si="0"/>
        <v>ERRORE</v>
      </c>
    </row>
    <row r="14" spans="1:7" ht="12.75">
      <c r="A14" s="137" t="str">
        <f>'t1'!A14</f>
        <v>COADIUTORE (A)</v>
      </c>
      <c r="B14" s="326" t="str">
        <f>'t1'!B14</f>
        <v>011121</v>
      </c>
      <c r="C14" s="747">
        <f>('t1'!L14+'t1'!M14)</f>
        <v>6</v>
      </c>
      <c r="D14" s="351">
        <f>'t5'!S15+'t5'!T15</f>
        <v>0</v>
      </c>
      <c r="E14" s="351">
        <f>'t4'!AB14</f>
        <v>0</v>
      </c>
      <c r="F14" s="352">
        <f>'t12'!C14</f>
        <v>0</v>
      </c>
      <c r="G14" s="372" t="str">
        <f t="shared" si="0"/>
        <v>ERRORE</v>
      </c>
    </row>
    <row r="15" spans="1:7" ht="12.75">
      <c r="A15" s="137" t="str">
        <f>'t1'!A15</f>
        <v>PROFESSORI DI PRIMA FASCIA TEMPO DET.ANNUALE</v>
      </c>
      <c r="B15" s="326" t="str">
        <f>'t1'!B15</f>
        <v>018PD1</v>
      </c>
      <c r="C15" s="747">
        <f>('t1'!L15+'t1'!M15)</f>
        <v>22</v>
      </c>
      <c r="D15" s="351">
        <f>'t5'!S16+'t5'!T16</f>
        <v>0</v>
      </c>
      <c r="E15" s="351">
        <f>'t4'!AB15</f>
        <v>0</v>
      </c>
      <c r="F15" s="352">
        <f>'t12'!C15</f>
        <v>0</v>
      </c>
      <c r="G15" s="372" t="str">
        <f t="shared" si="0"/>
        <v>ERRORE</v>
      </c>
    </row>
    <row r="16" spans="1:7" ht="12.75">
      <c r="A16" s="137" t="str">
        <f>'t1'!A16</f>
        <v>PROFESSORI DI SECONDA FASCIA TEMPO DET.ANNUALE</v>
      </c>
      <c r="B16" s="326" t="str">
        <f>'t1'!B16</f>
        <v>016PD2</v>
      </c>
      <c r="C16" s="747">
        <f>('t1'!L16+'t1'!M16)</f>
        <v>6</v>
      </c>
      <c r="D16" s="351">
        <f>'t5'!S17+'t5'!T17</f>
        <v>0</v>
      </c>
      <c r="E16" s="351">
        <f>'t4'!AB16</f>
        <v>0</v>
      </c>
      <c r="F16" s="352">
        <f>'t12'!C16</f>
        <v>0</v>
      </c>
      <c r="G16" s="372" t="str">
        <f t="shared" si="0"/>
        <v>ERRORE</v>
      </c>
    </row>
    <row r="17" spans="1:7" ht="12.75">
      <c r="A17" s="137" t="str">
        <f>'t1'!A17</f>
        <v>PROFESSORI DI PRIMA FASCIA T. DET. TERMINE ATTIV DIDATT</v>
      </c>
      <c r="B17" s="326" t="str">
        <f>'t1'!B17</f>
        <v>018DD1</v>
      </c>
      <c r="C17" s="747">
        <f>('t1'!L17+'t1'!M17)</f>
        <v>0</v>
      </c>
      <c r="D17" s="351">
        <f>'t5'!S18+'t5'!T18</f>
        <v>0</v>
      </c>
      <c r="E17" s="351">
        <f>'t4'!AB17</f>
        <v>0</v>
      </c>
      <c r="F17" s="352">
        <f>'t12'!C17</f>
        <v>0</v>
      </c>
      <c r="G17" s="372" t="str">
        <f t="shared" si="0"/>
        <v>OK</v>
      </c>
    </row>
    <row r="18" spans="1:7" ht="12.75">
      <c r="A18" s="137" t="str">
        <f>'t1'!A18</f>
        <v>PROFESSORI DI SECONDA FASCIA T. DET. TERMINE ATTIV DIDATT</v>
      </c>
      <c r="B18" s="326" t="str">
        <f>'t1'!B18</f>
        <v>016DD2</v>
      </c>
      <c r="C18" s="747">
        <f>('t1'!L18+'t1'!M18)</f>
        <v>0</v>
      </c>
      <c r="D18" s="351">
        <f>'t5'!S19+'t5'!T19</f>
        <v>0</v>
      </c>
      <c r="E18" s="351">
        <f>'t4'!AB18</f>
        <v>0</v>
      </c>
      <c r="F18" s="352">
        <f>'t12'!C18</f>
        <v>0</v>
      </c>
      <c r="G18" s="372" t="str">
        <f t="shared" si="0"/>
        <v>OK</v>
      </c>
    </row>
    <row r="19" spans="1:7" ht="12.75">
      <c r="A19" s="137" t="str">
        <f>'t1'!A19</f>
        <v>DIRETTORE AMMINISTRATIVO TEMPO DET.ANNUALE (EP2)</v>
      </c>
      <c r="B19" s="326" t="str">
        <f>'t1'!B19</f>
        <v>013EP2</v>
      </c>
      <c r="C19" s="747">
        <f>('t1'!L19+'t1'!M19)</f>
        <v>0</v>
      </c>
      <c r="D19" s="351">
        <f>'t5'!S20+'t5'!T20</f>
        <v>0</v>
      </c>
      <c r="E19" s="351">
        <f>'t4'!AB19</f>
        <v>0</v>
      </c>
      <c r="F19" s="352">
        <f>'t12'!C19</f>
        <v>0</v>
      </c>
      <c r="G19" s="372" t="str">
        <f t="shared" si="0"/>
        <v>OK</v>
      </c>
    </row>
    <row r="20" spans="1:7" ht="12.75">
      <c r="A20" s="137" t="str">
        <f>'t1'!A20</f>
        <v>DIRETTORE DELL UFFICIO DI RAGIONERIA TEMPO DET.ANNUALE (EP1)</v>
      </c>
      <c r="B20" s="326" t="str">
        <f>'t1'!B20</f>
        <v>013160</v>
      </c>
      <c r="C20" s="747">
        <f>('t1'!L20+'t1'!M20)</f>
        <v>0</v>
      </c>
      <c r="D20" s="351">
        <f>'t5'!S21+'t5'!T21</f>
        <v>0</v>
      </c>
      <c r="E20" s="351">
        <f>'t4'!AB20</f>
        <v>0</v>
      </c>
      <c r="F20" s="352">
        <f>'t12'!C20</f>
        <v>0</v>
      </c>
      <c r="G20" s="372" t="str">
        <f t="shared" si="0"/>
        <v>OK</v>
      </c>
    </row>
    <row r="21" spans="1:7" ht="12.75">
      <c r="A21" s="137" t="str">
        <f>'t1'!A21</f>
        <v>DIRETTORE AMMINISTRATIVO T. DET. TERMINE ATTIV DIDATT(EP2)</v>
      </c>
      <c r="B21" s="326" t="str">
        <f>'t1'!B21</f>
        <v>013E2N</v>
      </c>
      <c r="C21" s="747">
        <f>('t1'!L21+'t1'!M21)</f>
        <v>0</v>
      </c>
      <c r="D21" s="351">
        <f>'t5'!S22+'t5'!T22</f>
        <v>0</v>
      </c>
      <c r="E21" s="351">
        <f>'t4'!AB21</f>
        <v>0</v>
      </c>
      <c r="F21" s="352">
        <f>'t12'!C21</f>
        <v>0</v>
      </c>
      <c r="G21" s="372" t="str">
        <f t="shared" si="0"/>
        <v>OK</v>
      </c>
    </row>
    <row r="22" spans="1:7" ht="12.75">
      <c r="A22" s="137" t="str">
        <f>'t1'!A22</f>
        <v>DIRETTORE UFF. RAGIONERIA T. DET. TERM. ATTIV DIDATT(EP1)</v>
      </c>
      <c r="B22" s="326" t="str">
        <f>'t1'!B22</f>
        <v>013E1N</v>
      </c>
      <c r="C22" s="747">
        <f>('t1'!L22+'t1'!M22)</f>
        <v>0</v>
      </c>
      <c r="D22" s="351">
        <f>'t5'!S23+'t5'!T23</f>
        <v>0</v>
      </c>
      <c r="E22" s="351">
        <f>'t4'!AB22</f>
        <v>0</v>
      </c>
      <c r="F22" s="352">
        <f>'t12'!C22</f>
        <v>0</v>
      </c>
      <c r="G22" s="372" t="str">
        <f t="shared" si="0"/>
        <v>OK</v>
      </c>
    </row>
    <row r="23" spans="1:7" ht="12.75">
      <c r="A23" s="137" t="str">
        <f>'t1'!A23</f>
        <v>COORD. DI BIBLIOT., COORD. TEC. E AMM. TEMPO DET.ANNUALE</v>
      </c>
      <c r="B23" s="326" t="str">
        <f>'t1'!B23</f>
        <v>013DDE</v>
      </c>
      <c r="C23" s="747">
        <f>('t1'!L23+'t1'!M23)</f>
        <v>0</v>
      </c>
      <c r="D23" s="351">
        <f>'t5'!S24+'t5'!T24</f>
        <v>0</v>
      </c>
      <c r="E23" s="351">
        <f>'t4'!AB23</f>
        <v>0</v>
      </c>
      <c r="F23" s="352">
        <f>'t12'!C23</f>
        <v>0</v>
      </c>
      <c r="G23" s="372" t="str">
        <f t="shared" si="0"/>
        <v>OK</v>
      </c>
    </row>
    <row r="24" spans="1:7" ht="12.75">
      <c r="A24" s="137" t="str">
        <f>'t1'!A24</f>
        <v>COLLAB. TEC. AMMIN. DI BIBLIOT. E DI LAB. TEMPO DET.ANNUALE</v>
      </c>
      <c r="B24" s="326" t="str">
        <f>'t1'!B24</f>
        <v>013CDE</v>
      </c>
      <c r="C24" s="747">
        <f>('t1'!L24+'t1'!M24)</f>
        <v>0</v>
      </c>
      <c r="D24" s="351">
        <f>'t5'!S25+'t5'!T25</f>
        <v>0</v>
      </c>
      <c r="E24" s="351">
        <f>'t4'!AB24</f>
        <v>0</v>
      </c>
      <c r="F24" s="352">
        <f>'t12'!C24</f>
        <v>0</v>
      </c>
      <c r="G24" s="372" t="str">
        <f t="shared" si="0"/>
        <v>OK</v>
      </c>
    </row>
    <row r="25" spans="1:7" ht="12.75">
      <c r="A25" s="137" t="str">
        <f>'t1'!A25</f>
        <v>ASSIST. AMMINISTRATIVO TEMPO DET.ANNUALE</v>
      </c>
      <c r="B25" s="326" t="str">
        <f>'t1'!B25</f>
        <v>012118</v>
      </c>
      <c r="C25" s="747">
        <f>('t1'!L25+'t1'!M25)</f>
        <v>1</v>
      </c>
      <c r="D25" s="351">
        <f>'t5'!S26+'t5'!T26</f>
        <v>0</v>
      </c>
      <c r="E25" s="351">
        <f>'t4'!AB25</f>
        <v>0</v>
      </c>
      <c r="F25" s="352">
        <f>'t12'!C25</f>
        <v>0</v>
      </c>
      <c r="G25" s="372" t="str">
        <f t="shared" si="0"/>
        <v>ERRORE</v>
      </c>
    </row>
    <row r="26" spans="1:7" ht="12.75">
      <c r="A26" s="137" t="str">
        <f>'t1'!A26</f>
        <v>COADIUTORE TEMPO DET.ANNUALE</v>
      </c>
      <c r="B26" s="326" t="str">
        <f>'t1'!B26</f>
        <v>011124</v>
      </c>
      <c r="C26" s="747">
        <f>('t1'!L26+'t1'!M26)</f>
        <v>4</v>
      </c>
      <c r="D26" s="351">
        <f>'t5'!S27+'t5'!T27</f>
        <v>0</v>
      </c>
      <c r="E26" s="351">
        <f>'t4'!AB26</f>
        <v>0</v>
      </c>
      <c r="F26" s="352">
        <f>'t12'!C26</f>
        <v>0</v>
      </c>
      <c r="G26" s="372" t="str">
        <f t="shared" si="0"/>
        <v>ERRORE</v>
      </c>
    </row>
    <row r="27" spans="1:7" ht="12.75">
      <c r="A27" s="137" t="str">
        <f>'t1'!A27</f>
        <v>COORD. BIBL., COORD. TEC. E AMM. T. DET. TERM. ATTIV DIDATT</v>
      </c>
      <c r="B27" s="326" t="str">
        <f>'t1'!B27</f>
        <v>013DDN</v>
      </c>
      <c r="C27" s="747">
        <f>('t1'!L27+'t1'!M27)</f>
        <v>0</v>
      </c>
      <c r="D27" s="351">
        <f>'t5'!S28+'t5'!T28</f>
        <v>0</v>
      </c>
      <c r="E27" s="351">
        <f>'t4'!AB27</f>
        <v>0</v>
      </c>
      <c r="F27" s="352">
        <f>'t12'!C27</f>
        <v>0</v>
      </c>
      <c r="G27" s="372" t="str">
        <f t="shared" si="0"/>
        <v>OK</v>
      </c>
    </row>
    <row r="28" spans="1:7" ht="12.75">
      <c r="A28" s="137" t="str">
        <f>'t1'!A28</f>
        <v>COLLAB. TEC. AMM. BIBL. E DI LAB. T. D. TERM. ATTIV DIDATT</v>
      </c>
      <c r="B28" s="326" t="str">
        <f>'t1'!B28</f>
        <v>013CDN</v>
      </c>
      <c r="C28" s="747">
        <f>('t1'!L28+'t1'!M28)</f>
        <v>0</v>
      </c>
      <c r="D28" s="351">
        <f>'t5'!S29+'t5'!T29</f>
        <v>0</v>
      </c>
      <c r="E28" s="351">
        <f>'t4'!AB28</f>
        <v>0</v>
      </c>
      <c r="F28" s="352">
        <f>'t12'!C28</f>
        <v>0</v>
      </c>
      <c r="G28" s="372" t="str">
        <f t="shared" si="0"/>
        <v>OK</v>
      </c>
    </row>
    <row r="29" spans="1:7" ht="12.75">
      <c r="A29" s="137" t="str">
        <f>'t1'!A29</f>
        <v>ASSISTENTE AMMINISTRATIVO TEM.DET. TERMINE ATTIV DIDATT</v>
      </c>
      <c r="B29" s="326" t="str">
        <f>'t1'!B29</f>
        <v>016509</v>
      </c>
      <c r="C29" s="747">
        <f>('t1'!L29+'t1'!M29)</f>
        <v>0</v>
      </c>
      <c r="D29" s="351">
        <f>'t5'!S30+'t5'!T30</f>
        <v>0</v>
      </c>
      <c r="E29" s="351">
        <f>'t4'!AB29</f>
        <v>0</v>
      </c>
      <c r="F29" s="352">
        <f>'t12'!C29</f>
        <v>0</v>
      </c>
      <c r="G29" s="372" t="str">
        <f t="shared" si="0"/>
        <v>OK</v>
      </c>
    </row>
    <row r="30" spans="1:7" ht="12.75">
      <c r="A30" s="137" t="str">
        <f>'t1'!A30</f>
        <v>COADIUTORE TEMPO DET. TERMINE ATTIV DIDATT</v>
      </c>
      <c r="B30" s="326" t="str">
        <f>'t1'!B30</f>
        <v>011CNA</v>
      </c>
      <c r="C30" s="747">
        <f>('t1'!L30+'t1'!M30)</f>
        <v>0</v>
      </c>
      <c r="D30" s="351">
        <f>'t5'!S31+'t5'!T31</f>
        <v>0</v>
      </c>
      <c r="E30" s="351">
        <f>'t4'!AB30</f>
        <v>0</v>
      </c>
      <c r="F30" s="352">
        <f>'t12'!C30</f>
        <v>0</v>
      </c>
      <c r="G30" s="372" t="str">
        <f t="shared" si="0"/>
        <v>OK</v>
      </c>
    </row>
  </sheetData>
  <sheetProtection password="EA98" sheet="1" formatColumns="0" selectLockedCells="1" selectUnlockedCells="1"/>
  <mergeCells count="2">
    <mergeCell ref="A1:G1"/>
    <mergeCell ref="D2:G2"/>
  </mergeCells>
  <printOptions horizontalCentered="1" verticalCentered="1"/>
  <pageMargins left="0.1968503937007874" right="0.1968503937007874" top="0.1968503937007874" bottom="0.15748031496062992" header="0.15748031496062992" footer="0.15748031496062992"/>
  <pageSetup horizontalDpi="600" verticalDpi="600" orientation="landscape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31"/>
  <dimension ref="A1:I30"/>
  <sheetViews>
    <sheetView showGridLines="0" zoomScalePageLayoutView="0" workbookViewId="0" topLeftCell="A1">
      <pane ySplit="5" topLeftCell="A6" activePane="bottomLeft" state="frozen"/>
      <selection pane="topLeft" activeCell="E11" sqref="E11"/>
      <selection pane="bottomLeft" activeCell="B5" sqref="B5"/>
    </sheetView>
  </sheetViews>
  <sheetFormatPr defaultColWidth="9.33203125" defaultRowHeight="10.5"/>
  <cols>
    <col min="1" max="1" width="57.83203125" style="5" customWidth="1"/>
    <col min="2" max="2" width="11.33203125" style="7" customWidth="1"/>
    <col min="3" max="3" width="17.83203125" style="7" customWidth="1"/>
    <col min="4" max="4" width="26.66015625" style="370" customWidth="1"/>
    <col min="5" max="5" width="15.83203125" style="7" customWidth="1"/>
    <col min="6" max="6" width="9.33203125" style="108" customWidth="1"/>
  </cols>
  <sheetData>
    <row r="1" spans="1:9" s="5" customFormat="1" ht="43.5" customHeight="1">
      <c r="A1" s="1155" t="str">
        <f>'t1'!A1</f>
        <v>COMPARTO AFAM - anno 2016</v>
      </c>
      <c r="B1" s="1155"/>
      <c r="C1" s="1155"/>
      <c r="D1" s="1155"/>
      <c r="E1" s="1155"/>
      <c r="G1" s="3"/>
      <c r="I1"/>
    </row>
    <row r="2" spans="3:9" s="5" customFormat="1" ht="12.75" customHeight="1">
      <c r="C2" s="1237"/>
      <c r="D2" s="1237"/>
      <c r="E2" s="1237"/>
      <c r="F2" s="324"/>
      <c r="G2" s="3"/>
      <c r="I2"/>
    </row>
    <row r="3" spans="1:5" s="5" customFormat="1" ht="21" customHeight="1">
      <c r="A3" s="197" t="s">
        <v>365</v>
      </c>
      <c r="B3" s="7"/>
      <c r="D3" s="371"/>
      <c r="E3" s="7"/>
    </row>
    <row r="4" spans="1:5" ht="81.75" customHeight="1">
      <c r="A4" s="183" t="s">
        <v>244</v>
      </c>
      <c r="B4" s="185" t="s">
        <v>206</v>
      </c>
      <c r="C4" s="184" t="s">
        <v>308</v>
      </c>
      <c r="D4" s="428" t="s">
        <v>341</v>
      </c>
      <c r="E4" s="184" t="s">
        <v>319</v>
      </c>
    </row>
    <row r="5" spans="1:6" s="201" customFormat="1" ht="10.5">
      <c r="A5" s="182"/>
      <c r="B5" s="195"/>
      <c r="C5" s="199" t="s">
        <v>208</v>
      </c>
      <c r="D5" s="429" t="s">
        <v>209</v>
      </c>
      <c r="E5" s="199"/>
      <c r="F5" s="200"/>
    </row>
    <row r="6" spans="1:5" ht="12.75">
      <c r="A6" s="137" t="str">
        <f>'t1'!A6</f>
        <v>DIRIGENTE SCOLASTICO</v>
      </c>
      <c r="B6" s="326" t="str">
        <f>'t1'!B6</f>
        <v>0D0158</v>
      </c>
      <c r="C6" s="351">
        <f>'t13'!V6</f>
        <v>0</v>
      </c>
      <c r="D6" s="352">
        <f>('t3'!M6+'t3'!N6+'t3'!O6+'t3'!P6+'t3'!Q6+'t3'!R6)+('t12'!C6/12)</f>
        <v>0</v>
      </c>
      <c r="E6" s="372" t="str">
        <f>IF(OR((NOT(C6)),(AND(C6&gt;=0,D6&gt;0))),"OK","ERRORE")</f>
        <v>OK</v>
      </c>
    </row>
    <row r="7" spans="1:5" ht="12.75">
      <c r="A7" s="137" t="str">
        <f>'t1'!A7</f>
        <v>PROFESSORI DI PRIMA FASCIA</v>
      </c>
      <c r="B7" s="326" t="str">
        <f>'t1'!B7</f>
        <v>018P01</v>
      </c>
      <c r="C7" s="351">
        <f>'t13'!V7</f>
        <v>1415</v>
      </c>
      <c r="D7" s="352">
        <f>('t3'!M7+'t3'!N7+'t3'!O7+'t3'!P7+'t3'!Q7+'t3'!R7)+('t12'!C7/12)</f>
        <v>0</v>
      </c>
      <c r="E7" s="372" t="str">
        <f aca="true" t="shared" si="0" ref="E7:E30">IF(OR((NOT(C7)),(AND(C7&gt;=0,D7&gt;0))),"OK","ERRORE")</f>
        <v>ERRORE</v>
      </c>
    </row>
    <row r="8" spans="1:5" ht="12.75">
      <c r="A8" s="137" t="str">
        <f>'t1'!A8</f>
        <v>PROFESSORI DI SECONDA FASCIA</v>
      </c>
      <c r="B8" s="326" t="str">
        <f>'t1'!B8</f>
        <v>016P02</v>
      </c>
      <c r="C8" s="351">
        <f>'t13'!V8</f>
        <v>15995</v>
      </c>
      <c r="D8" s="352">
        <f>('t3'!M8+'t3'!N8+'t3'!O8+'t3'!P8+'t3'!Q8+'t3'!R8)+('t12'!C8/12)</f>
        <v>0</v>
      </c>
      <c r="E8" s="372" t="str">
        <f t="shared" si="0"/>
        <v>ERRORE</v>
      </c>
    </row>
    <row r="9" spans="1:5" ht="12.75">
      <c r="A9" s="137" t="str">
        <f>'t1'!A9</f>
        <v>DIRETTORE AMMINISTRATIVO EP2</v>
      </c>
      <c r="B9" s="326" t="str">
        <f>'t1'!B9</f>
        <v>013504</v>
      </c>
      <c r="C9" s="351">
        <f>'t13'!V9</f>
        <v>0</v>
      </c>
      <c r="D9" s="352">
        <f>('t3'!M9+'t3'!N9+'t3'!O9+'t3'!P9+'t3'!Q9+'t3'!R9)+('t12'!C9/12)</f>
        <v>0</v>
      </c>
      <c r="E9" s="372" t="str">
        <f t="shared" si="0"/>
        <v>OK</v>
      </c>
    </row>
    <row r="10" spans="1:5" ht="12.75">
      <c r="A10" s="137" t="str">
        <f>'t1'!A10</f>
        <v>DIRETTORE DELL UFFICIO DI RAGIONERIA (EP1)</v>
      </c>
      <c r="B10" s="326" t="str">
        <f>'t1'!B10</f>
        <v>013159</v>
      </c>
      <c r="C10" s="351">
        <f>'t13'!V10</f>
        <v>0</v>
      </c>
      <c r="D10" s="352">
        <f>('t3'!M10+'t3'!N10+'t3'!O10+'t3'!P10+'t3'!Q10+'t3'!R10)+('t12'!C10/12)</f>
        <v>0</v>
      </c>
      <c r="E10" s="372" t="str">
        <f t="shared" si="0"/>
        <v>OK</v>
      </c>
    </row>
    <row r="11" spans="1:5" ht="12.75">
      <c r="A11" s="137" t="str">
        <f>'t1'!A11</f>
        <v>COORDINATORE DI BIBLIOTECA TECNICO E AMMINISTRATIVO(D)</v>
      </c>
      <c r="B11" s="326" t="str">
        <f>'t1'!B11</f>
        <v>013DTE</v>
      </c>
      <c r="C11" s="351">
        <f>'t13'!V11</f>
        <v>0</v>
      </c>
      <c r="D11" s="352">
        <f>('t3'!M11+'t3'!N11+'t3'!O11+'t3'!P11+'t3'!Q11+'t3'!R11)+('t12'!C11/12)</f>
        <v>0</v>
      </c>
      <c r="E11" s="372" t="str">
        <f t="shared" si="0"/>
        <v>OK</v>
      </c>
    </row>
    <row r="12" spans="1:5" ht="12.75">
      <c r="A12" s="137" t="str">
        <f>'t1'!A12</f>
        <v>COLLABORATORE TEC. AMMIN. DI BIBLIOT. E DI LAB. (C)</v>
      </c>
      <c r="B12" s="326" t="str">
        <f>'t1'!B12</f>
        <v>013CTE</v>
      </c>
      <c r="C12" s="351">
        <f>'t13'!V12</f>
        <v>0</v>
      </c>
      <c r="D12" s="352">
        <f>('t3'!M12+'t3'!N12+'t3'!O12+'t3'!P12+'t3'!Q12+'t3'!R12)+('t12'!C12/12)</f>
        <v>0</v>
      </c>
      <c r="E12" s="372" t="str">
        <f t="shared" si="0"/>
        <v>OK</v>
      </c>
    </row>
    <row r="13" spans="1:5" ht="12.75">
      <c r="A13" s="137" t="str">
        <f>'t1'!A13</f>
        <v>ASSISTENTE AMMINISTRATIVO (B)</v>
      </c>
      <c r="B13" s="326" t="str">
        <f>'t1'!B13</f>
        <v>012117</v>
      </c>
      <c r="C13" s="351">
        <f>'t13'!V13</f>
        <v>6094</v>
      </c>
      <c r="D13" s="352">
        <f>('t3'!M13+'t3'!N13+'t3'!O13+'t3'!P13+'t3'!Q13+'t3'!R13)+('t12'!C13/12)</f>
        <v>0</v>
      </c>
      <c r="E13" s="372" t="str">
        <f t="shared" si="0"/>
        <v>ERRORE</v>
      </c>
    </row>
    <row r="14" spans="1:5" ht="12.75">
      <c r="A14" s="137" t="str">
        <f>'t1'!A14</f>
        <v>COADIUTORE (A)</v>
      </c>
      <c r="B14" s="326" t="str">
        <f>'t1'!B14</f>
        <v>011121</v>
      </c>
      <c r="C14" s="351">
        <f>'t13'!V14</f>
        <v>0</v>
      </c>
      <c r="D14" s="352">
        <f>('t3'!M14+'t3'!N14+'t3'!O14+'t3'!P14+'t3'!Q14+'t3'!R14)+('t12'!C14/12)</f>
        <v>0</v>
      </c>
      <c r="E14" s="372" t="str">
        <f t="shared" si="0"/>
        <v>OK</v>
      </c>
    </row>
    <row r="15" spans="1:5" ht="12.75">
      <c r="A15" s="137" t="str">
        <f>'t1'!A15</f>
        <v>PROFESSORI DI PRIMA FASCIA TEMPO DET.ANNUALE</v>
      </c>
      <c r="B15" s="326" t="str">
        <f>'t1'!B15</f>
        <v>018PD1</v>
      </c>
      <c r="C15" s="351">
        <f>'t13'!V15</f>
        <v>6600</v>
      </c>
      <c r="D15" s="352">
        <f>('t3'!M15+'t3'!N15+'t3'!O15+'t3'!P15+'t3'!Q15+'t3'!R15)+('t12'!C15/12)</f>
        <v>0</v>
      </c>
      <c r="E15" s="372" t="str">
        <f t="shared" si="0"/>
        <v>ERRORE</v>
      </c>
    </row>
    <row r="16" spans="1:5" ht="12.75">
      <c r="A16" s="137" t="str">
        <f>'t1'!A16</f>
        <v>PROFESSORI DI SECONDA FASCIA TEMPO DET.ANNUALE</v>
      </c>
      <c r="B16" s="326" t="str">
        <f>'t1'!B16</f>
        <v>016PD2</v>
      </c>
      <c r="C16" s="351">
        <f>'t13'!V16</f>
        <v>1100</v>
      </c>
      <c r="D16" s="352">
        <f>('t3'!M16+'t3'!N16+'t3'!O16+'t3'!P16+'t3'!Q16+'t3'!R16)+('t12'!C16/12)</f>
        <v>0</v>
      </c>
      <c r="E16" s="372" t="str">
        <f t="shared" si="0"/>
        <v>ERRORE</v>
      </c>
    </row>
    <row r="17" spans="1:5" ht="12.75">
      <c r="A17" s="137" t="str">
        <f>'t1'!A17</f>
        <v>PROFESSORI DI PRIMA FASCIA T. DET. TERMINE ATTIV DIDATT</v>
      </c>
      <c r="B17" s="326" t="str">
        <f>'t1'!B17</f>
        <v>018DD1</v>
      </c>
      <c r="C17" s="351">
        <f>'t13'!V17</f>
        <v>0</v>
      </c>
      <c r="D17" s="352">
        <f>('t3'!M17+'t3'!N17+'t3'!O17+'t3'!P17+'t3'!Q17+'t3'!R17)+('t12'!C17/12)</f>
        <v>0</v>
      </c>
      <c r="E17" s="372" t="str">
        <f t="shared" si="0"/>
        <v>OK</v>
      </c>
    </row>
    <row r="18" spans="1:5" ht="12.75">
      <c r="A18" s="137" t="str">
        <f>'t1'!A18</f>
        <v>PROFESSORI DI SECONDA FASCIA T. DET. TERMINE ATTIV DIDATT</v>
      </c>
      <c r="B18" s="326" t="str">
        <f>'t1'!B18</f>
        <v>016DD2</v>
      </c>
      <c r="C18" s="351">
        <f>'t13'!V18</f>
        <v>0</v>
      </c>
      <c r="D18" s="352">
        <f>('t3'!M18+'t3'!N18+'t3'!O18+'t3'!P18+'t3'!Q18+'t3'!R18)+('t12'!C18/12)</f>
        <v>0</v>
      </c>
      <c r="E18" s="372" t="str">
        <f t="shared" si="0"/>
        <v>OK</v>
      </c>
    </row>
    <row r="19" spans="1:5" ht="12.75">
      <c r="A19" s="137" t="str">
        <f>'t1'!A19</f>
        <v>DIRETTORE AMMINISTRATIVO TEMPO DET.ANNUALE (EP2)</v>
      </c>
      <c r="B19" s="326" t="str">
        <f>'t1'!B19</f>
        <v>013EP2</v>
      </c>
      <c r="C19" s="351">
        <f>'t13'!V19</f>
        <v>0</v>
      </c>
      <c r="D19" s="352">
        <f>('t3'!M19+'t3'!N19+'t3'!O19+'t3'!P19+'t3'!Q19+'t3'!R19)+('t12'!C19/12)</f>
        <v>0</v>
      </c>
      <c r="E19" s="372" t="str">
        <f t="shared" si="0"/>
        <v>OK</v>
      </c>
    </row>
    <row r="20" spans="1:5" ht="12.75">
      <c r="A20" s="137" t="str">
        <f>'t1'!A20</f>
        <v>DIRETTORE DELL UFFICIO DI RAGIONERIA TEMPO DET.ANNUALE (EP1)</v>
      </c>
      <c r="B20" s="326" t="str">
        <f>'t1'!B20</f>
        <v>013160</v>
      </c>
      <c r="C20" s="351">
        <f>'t13'!V20</f>
        <v>0</v>
      </c>
      <c r="D20" s="352">
        <f>('t3'!M20+'t3'!N20+'t3'!O20+'t3'!P20+'t3'!Q20+'t3'!R20)+('t12'!C20/12)</f>
        <v>0</v>
      </c>
      <c r="E20" s="372" t="str">
        <f t="shared" si="0"/>
        <v>OK</v>
      </c>
    </row>
    <row r="21" spans="1:5" ht="12.75">
      <c r="A21" s="137" t="str">
        <f>'t1'!A21</f>
        <v>DIRETTORE AMMINISTRATIVO T. DET. TERMINE ATTIV DIDATT(EP2)</v>
      </c>
      <c r="B21" s="326" t="str">
        <f>'t1'!B21</f>
        <v>013E2N</v>
      </c>
      <c r="C21" s="351">
        <f>'t13'!V21</f>
        <v>0</v>
      </c>
      <c r="D21" s="352">
        <f>('t3'!M21+'t3'!N21+'t3'!O21+'t3'!P21+'t3'!Q21+'t3'!R21)+('t12'!C21/12)</f>
        <v>0</v>
      </c>
      <c r="E21" s="372" t="str">
        <f t="shared" si="0"/>
        <v>OK</v>
      </c>
    </row>
    <row r="22" spans="1:5" ht="12.75">
      <c r="A22" s="137" t="str">
        <f>'t1'!A22</f>
        <v>DIRETTORE UFF. RAGIONERIA T. DET. TERM. ATTIV DIDATT(EP1)</v>
      </c>
      <c r="B22" s="326" t="str">
        <f>'t1'!B22</f>
        <v>013E1N</v>
      </c>
      <c r="C22" s="351">
        <f>'t13'!V22</f>
        <v>0</v>
      </c>
      <c r="D22" s="352">
        <f>('t3'!M22+'t3'!N22+'t3'!O22+'t3'!P22+'t3'!Q22+'t3'!R22)+('t12'!C22/12)</f>
        <v>0</v>
      </c>
      <c r="E22" s="372" t="str">
        <f t="shared" si="0"/>
        <v>OK</v>
      </c>
    </row>
    <row r="23" spans="1:5" ht="12.75">
      <c r="A23" s="137" t="str">
        <f>'t1'!A23</f>
        <v>COORD. DI BIBLIOT., COORD. TEC. E AMM. TEMPO DET.ANNUALE</v>
      </c>
      <c r="B23" s="326" t="str">
        <f>'t1'!B23</f>
        <v>013DDE</v>
      </c>
      <c r="C23" s="351">
        <f>'t13'!V23</f>
        <v>0</v>
      </c>
      <c r="D23" s="352">
        <f>('t3'!M23+'t3'!N23+'t3'!O23+'t3'!P23+'t3'!Q23+'t3'!R23)+('t12'!C23/12)</f>
        <v>0</v>
      </c>
      <c r="E23" s="372" t="str">
        <f t="shared" si="0"/>
        <v>OK</v>
      </c>
    </row>
    <row r="24" spans="1:5" ht="12.75">
      <c r="A24" s="137" t="str">
        <f>'t1'!A24</f>
        <v>COLLAB. TEC. AMMIN. DI BIBLIOT. E DI LAB. TEMPO DET.ANNUALE</v>
      </c>
      <c r="B24" s="326" t="str">
        <f>'t1'!B24</f>
        <v>013CDE</v>
      </c>
      <c r="C24" s="351">
        <f>'t13'!V24</f>
        <v>0</v>
      </c>
      <c r="D24" s="352">
        <f>('t3'!M24+'t3'!N24+'t3'!O24+'t3'!P24+'t3'!Q24+'t3'!R24)+('t12'!C24/12)</f>
        <v>0</v>
      </c>
      <c r="E24" s="372" t="str">
        <f t="shared" si="0"/>
        <v>OK</v>
      </c>
    </row>
    <row r="25" spans="1:5" ht="12.75">
      <c r="A25" s="137" t="str">
        <f>'t1'!A25</f>
        <v>ASSIST. AMMINISTRATIVO TEMPO DET.ANNUALE</v>
      </c>
      <c r="B25" s="326" t="str">
        <f>'t1'!B25</f>
        <v>012118</v>
      </c>
      <c r="C25" s="351">
        <f>'t13'!V25</f>
        <v>85</v>
      </c>
      <c r="D25" s="352">
        <f>('t3'!M25+'t3'!N25+'t3'!O25+'t3'!P25+'t3'!Q25+'t3'!R25)+('t12'!C25/12)</f>
        <v>0</v>
      </c>
      <c r="E25" s="372" t="str">
        <f t="shared" si="0"/>
        <v>ERRORE</v>
      </c>
    </row>
    <row r="26" spans="1:5" ht="12.75">
      <c r="A26" s="137" t="str">
        <f>'t1'!A26</f>
        <v>COADIUTORE TEMPO DET.ANNUALE</v>
      </c>
      <c r="B26" s="326" t="str">
        <f>'t1'!B26</f>
        <v>011124</v>
      </c>
      <c r="C26" s="351">
        <f>'t13'!V26</f>
        <v>0</v>
      </c>
      <c r="D26" s="352">
        <f>('t3'!M26+'t3'!N26+'t3'!O26+'t3'!P26+'t3'!Q26+'t3'!R26)+('t12'!C26/12)</f>
        <v>0</v>
      </c>
      <c r="E26" s="372" t="str">
        <f t="shared" si="0"/>
        <v>OK</v>
      </c>
    </row>
    <row r="27" spans="1:5" ht="12.75">
      <c r="A27" s="137" t="str">
        <f>'t1'!A27</f>
        <v>COORD. BIBL., COORD. TEC. E AMM. T. DET. TERM. ATTIV DIDATT</v>
      </c>
      <c r="B27" s="326" t="str">
        <f>'t1'!B27</f>
        <v>013DDN</v>
      </c>
      <c r="C27" s="351">
        <f>'t13'!V27</f>
        <v>0</v>
      </c>
      <c r="D27" s="352">
        <f>('t3'!M27+'t3'!N27+'t3'!O27+'t3'!P27+'t3'!Q27+'t3'!R27)+('t12'!C27/12)</f>
        <v>0</v>
      </c>
      <c r="E27" s="372" t="str">
        <f t="shared" si="0"/>
        <v>OK</v>
      </c>
    </row>
    <row r="28" spans="1:5" ht="12.75">
      <c r="A28" s="137" t="str">
        <f>'t1'!A28</f>
        <v>COLLAB. TEC. AMM. BIBL. E DI LAB. T. D. TERM. ATTIV DIDATT</v>
      </c>
      <c r="B28" s="326" t="str">
        <f>'t1'!B28</f>
        <v>013CDN</v>
      </c>
      <c r="C28" s="351">
        <f>'t13'!V28</f>
        <v>0</v>
      </c>
      <c r="D28" s="352">
        <f>('t3'!M28+'t3'!N28+'t3'!O28+'t3'!P28+'t3'!Q28+'t3'!R28)+('t12'!C28/12)</f>
        <v>0</v>
      </c>
      <c r="E28" s="372" t="str">
        <f t="shared" si="0"/>
        <v>OK</v>
      </c>
    </row>
    <row r="29" spans="1:5" ht="12.75">
      <c r="A29" s="137" t="str">
        <f>'t1'!A29</f>
        <v>ASSISTENTE AMMINISTRATIVO TEM.DET. TERMINE ATTIV DIDATT</v>
      </c>
      <c r="B29" s="326" t="str">
        <f>'t1'!B29</f>
        <v>016509</v>
      </c>
      <c r="C29" s="351">
        <f>'t13'!V29</f>
        <v>0</v>
      </c>
      <c r="D29" s="352">
        <f>('t3'!M29+'t3'!N29+'t3'!O29+'t3'!P29+'t3'!Q29+'t3'!R29)+('t12'!C29/12)</f>
        <v>0</v>
      </c>
      <c r="E29" s="372" t="str">
        <f t="shared" si="0"/>
        <v>OK</v>
      </c>
    </row>
    <row r="30" spans="1:5" ht="12.75">
      <c r="A30" s="137" t="str">
        <f>'t1'!A30</f>
        <v>COADIUTORE TEMPO DET. TERMINE ATTIV DIDATT</v>
      </c>
      <c r="B30" s="326" t="str">
        <f>'t1'!B30</f>
        <v>011CNA</v>
      </c>
      <c r="C30" s="351">
        <f>'t13'!V30</f>
        <v>0</v>
      </c>
      <c r="D30" s="352">
        <f>('t3'!M30+'t3'!N30+'t3'!O30+'t3'!P30+'t3'!Q30+'t3'!R30)+('t12'!C30/12)</f>
        <v>0</v>
      </c>
      <c r="E30" s="372" t="str">
        <f t="shared" si="0"/>
        <v>OK</v>
      </c>
    </row>
  </sheetData>
  <sheetProtection password="EA98" sheet="1" formatColumns="0" selectLockedCells="1" selectUnlockedCells="1"/>
  <mergeCells count="2">
    <mergeCell ref="A1:E1"/>
    <mergeCell ref="C2:E2"/>
  </mergeCells>
  <printOptions horizontalCentered="1" verticalCentered="1"/>
  <pageMargins left="0.1968503937007874" right="0.1968503937007874" top="0.1968503937007874" bottom="0.15748031496062992" header="0.15748031496062992" footer="0.15748031496062992"/>
  <pageSetup horizontalDpi="600" verticalDpi="600" orientation="landscape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28"/>
  <dimension ref="A1:N30"/>
  <sheetViews>
    <sheetView showGridLines="0" zoomScalePageLayoutView="0" workbookViewId="0" topLeftCell="A1">
      <pane xSplit="2" ySplit="5" topLeftCell="C6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2" sqref="A2"/>
    </sheetView>
  </sheetViews>
  <sheetFormatPr defaultColWidth="9.33203125" defaultRowHeight="10.5"/>
  <cols>
    <col min="1" max="1" width="57.83203125" style="5" customWidth="1"/>
    <col min="2" max="2" width="10" style="7" customWidth="1"/>
    <col min="3" max="8" width="11.83203125" style="7" customWidth="1"/>
    <col min="9" max="9" width="13.83203125" style="7" customWidth="1"/>
    <col min="10" max="11" width="16.83203125" style="7" hidden="1" customWidth="1"/>
    <col min="12" max="12" width="85.83203125" style="0" customWidth="1"/>
  </cols>
  <sheetData>
    <row r="1" spans="1:14" s="5" customFormat="1" ht="43.5" customHeight="1">
      <c r="A1" s="1155" t="str">
        <f>'t1'!A1</f>
        <v>COMPARTO AFAM - anno 2016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3"/>
      <c r="N1"/>
    </row>
    <row r="2" spans="4:14" s="5" customFormat="1" ht="12.75" customHeight="1">
      <c r="D2" s="1237"/>
      <c r="E2" s="1237"/>
      <c r="F2" s="1237"/>
      <c r="G2" s="1237"/>
      <c r="H2" s="1237"/>
      <c r="I2" s="1237"/>
      <c r="J2" s="1237"/>
      <c r="K2" s="1237"/>
      <c r="L2" s="3"/>
      <c r="N2"/>
    </row>
    <row r="3" spans="1:3" s="5" customFormat="1" ht="21" customHeight="1">
      <c r="A3" s="197" t="s">
        <v>726</v>
      </c>
      <c r="B3" s="7"/>
      <c r="C3" s="7"/>
    </row>
    <row r="4" spans="1:12" ht="45">
      <c r="A4" s="183" t="s">
        <v>244</v>
      </c>
      <c r="B4" s="185" t="s">
        <v>206</v>
      </c>
      <c r="C4" s="184" t="s">
        <v>47</v>
      </c>
      <c r="D4" s="184" t="s">
        <v>48</v>
      </c>
      <c r="E4" s="184" t="s">
        <v>49</v>
      </c>
      <c r="F4" s="184" t="s">
        <v>50</v>
      </c>
      <c r="G4" s="184" t="s">
        <v>51</v>
      </c>
      <c r="H4" s="184" t="s">
        <v>52</v>
      </c>
      <c r="I4" s="184" t="s">
        <v>53</v>
      </c>
      <c r="J4" s="184" t="s">
        <v>54</v>
      </c>
      <c r="K4" s="184" t="s">
        <v>55</v>
      </c>
      <c r="L4" s="645" t="s">
        <v>443</v>
      </c>
    </row>
    <row r="5" spans="1:12" s="201" customFormat="1" ht="56.25" hidden="1">
      <c r="A5" s="182"/>
      <c r="B5" s="195"/>
      <c r="C5" s="195" t="s">
        <v>208</v>
      </c>
      <c r="D5" s="199" t="s">
        <v>209</v>
      </c>
      <c r="E5" s="199" t="s">
        <v>210</v>
      </c>
      <c r="F5" s="199" t="s">
        <v>211</v>
      </c>
      <c r="G5" s="199" t="s">
        <v>212</v>
      </c>
      <c r="H5" s="199" t="s">
        <v>232</v>
      </c>
      <c r="I5" s="199"/>
      <c r="J5" s="695" t="s">
        <v>456</v>
      </c>
      <c r="K5" s="695" t="s">
        <v>627</v>
      </c>
      <c r="L5" s="697"/>
    </row>
    <row r="6" spans="1:12" ht="12.75">
      <c r="A6" s="137" t="str">
        <f>'t1'!A6</f>
        <v>DIRIGENTE SCOLASTICO</v>
      </c>
      <c r="B6" s="326" t="str">
        <f>'t1'!B6</f>
        <v>0D0158</v>
      </c>
      <c r="C6" s="351">
        <f>'t11'!U8+'t11'!V8</f>
        <v>0</v>
      </c>
      <c r="D6" s="351">
        <f>'t1'!L6+'t1'!M6</f>
        <v>0</v>
      </c>
      <c r="E6" s="351">
        <f>'t3'!M6+'t3'!N6+'t3'!O6+'t3'!P6+'t3'!Q6+'t3'!R6</f>
        <v>0</v>
      </c>
      <c r="F6" s="351">
        <f>'t4'!AB6</f>
        <v>0</v>
      </c>
      <c r="G6" s="349">
        <f>'t4'!C31</f>
        <v>0</v>
      </c>
      <c r="H6" s="351">
        <f>'t5'!S7+'t5'!T7</f>
        <v>0</v>
      </c>
      <c r="I6" s="372" t="str">
        <f>IF(AND(J6="OK",K6="OK"),"OK","ERRORE")</f>
        <v>OK</v>
      </c>
      <c r="J6" s="372" t="str">
        <f aca="true" t="shared" si="0" ref="J6:J30">IF(AND(C6&gt;0,D6=0,E6=0,F6=0,G6=0,H6=0),"KO","OK")</f>
        <v>OK</v>
      </c>
      <c r="K6" s="372" t="str">
        <f aca="true" t="shared" si="1" ref="K6:K30">IF(AND(C6=0,OR(D6&gt;0,E6&gt;0,F6&gt;0,G6&gt;0,H6&gt;0)),"KO","OK")</f>
        <v>OK</v>
      </c>
      <c r="L6" s="698">
        <f>IF(K6="KO",$K$5,IF(J6="KO",$J$5,""))</f>
      </c>
    </row>
    <row r="7" spans="1:12" ht="12.75">
      <c r="A7" s="137" t="str">
        <f>'t1'!A7</f>
        <v>PROFESSORI DI PRIMA FASCIA</v>
      </c>
      <c r="B7" s="326" t="str">
        <f>'t1'!B7</f>
        <v>018P01</v>
      </c>
      <c r="C7" s="351">
        <f>'t11'!U9+'t11'!V9</f>
        <v>357</v>
      </c>
      <c r="D7" s="351">
        <f>'t1'!L7+'t1'!M7</f>
        <v>9</v>
      </c>
      <c r="E7" s="351">
        <f>'t3'!M7+'t3'!N7+'t3'!O7+'t3'!P7+'t3'!Q7+'t3'!R7</f>
        <v>0</v>
      </c>
      <c r="F7" s="351">
        <f>'t4'!AB7</f>
        <v>0</v>
      </c>
      <c r="G7" s="349">
        <f>'t4'!D31</f>
        <v>0</v>
      </c>
      <c r="H7" s="351">
        <f>'t5'!S8+'t5'!T8</f>
        <v>1</v>
      </c>
      <c r="I7" s="372" t="str">
        <f aca="true" t="shared" si="2" ref="I7:I30">IF(AND(J7="OK",K7="OK"),"OK","ERRORE")</f>
        <v>OK</v>
      </c>
      <c r="J7" s="372" t="str">
        <f t="shared" si="0"/>
        <v>OK</v>
      </c>
      <c r="K7" s="372" t="str">
        <f t="shared" si="1"/>
        <v>OK</v>
      </c>
      <c r="L7" s="698">
        <f aca="true" t="shared" si="3" ref="L7:L30">IF(K7="KO",$K$5,IF(J7="KO",$J$5,""))</f>
      </c>
    </row>
    <row r="8" spans="1:12" ht="12.75">
      <c r="A8" s="137" t="str">
        <f>'t1'!A8</f>
        <v>PROFESSORI DI SECONDA FASCIA</v>
      </c>
      <c r="B8" s="326" t="str">
        <f>'t1'!B8</f>
        <v>016P02</v>
      </c>
      <c r="C8" s="351">
        <f>'t11'!U10+'t11'!V10</f>
        <v>351</v>
      </c>
      <c r="D8" s="351">
        <f>'t1'!L8+'t1'!M8</f>
        <v>7</v>
      </c>
      <c r="E8" s="351">
        <f>'t3'!M8+'t3'!N8+'t3'!O8+'t3'!P8+'t3'!Q8+'t3'!R8</f>
        <v>0</v>
      </c>
      <c r="F8" s="351">
        <f>'t4'!AB8</f>
        <v>0</v>
      </c>
      <c r="G8" s="349">
        <f>'t4'!E31</f>
        <v>0</v>
      </c>
      <c r="H8" s="351">
        <f>'t5'!S9+'t5'!T9</f>
        <v>2</v>
      </c>
      <c r="I8" s="372" t="str">
        <f t="shared" si="2"/>
        <v>OK</v>
      </c>
      <c r="J8" s="372" t="str">
        <f t="shared" si="0"/>
        <v>OK</v>
      </c>
      <c r="K8" s="372" t="str">
        <f t="shared" si="1"/>
        <v>OK</v>
      </c>
      <c r="L8" s="698">
        <f t="shared" si="3"/>
      </c>
    </row>
    <row r="9" spans="1:12" ht="12.75">
      <c r="A9" s="137" t="str">
        <f>'t1'!A9</f>
        <v>DIRETTORE AMMINISTRATIVO EP2</v>
      </c>
      <c r="B9" s="326" t="str">
        <f>'t1'!B9</f>
        <v>013504</v>
      </c>
      <c r="C9" s="351">
        <f>'t11'!U11+'t11'!V11</f>
        <v>79</v>
      </c>
      <c r="D9" s="351">
        <f>'t1'!L9+'t1'!M9</f>
        <v>1</v>
      </c>
      <c r="E9" s="351">
        <f>'t3'!M9+'t3'!N9+'t3'!O9+'t3'!P9+'t3'!Q9+'t3'!R9</f>
        <v>0</v>
      </c>
      <c r="F9" s="351">
        <f>'t4'!AB9</f>
        <v>0</v>
      </c>
      <c r="G9" s="349">
        <f>'t4'!F31</f>
        <v>0</v>
      </c>
      <c r="H9" s="351">
        <f>'t5'!S10+'t5'!T10</f>
        <v>0</v>
      </c>
      <c r="I9" s="372" t="str">
        <f t="shared" si="2"/>
        <v>OK</v>
      </c>
      <c r="J9" s="372" t="str">
        <f t="shared" si="0"/>
        <v>OK</v>
      </c>
      <c r="K9" s="372" t="str">
        <f t="shared" si="1"/>
        <v>OK</v>
      </c>
      <c r="L9" s="698">
        <f t="shared" si="3"/>
      </c>
    </row>
    <row r="10" spans="1:12" ht="12.75">
      <c r="A10" s="137" t="str">
        <f>'t1'!A10</f>
        <v>DIRETTORE DELL UFFICIO DI RAGIONERIA (EP1)</v>
      </c>
      <c r="B10" s="326" t="str">
        <f>'t1'!B10</f>
        <v>013159</v>
      </c>
      <c r="C10" s="351">
        <f>'t11'!U12+'t11'!V12</f>
        <v>85</v>
      </c>
      <c r="D10" s="351">
        <f>'t1'!L10+'t1'!M10</f>
        <v>1</v>
      </c>
      <c r="E10" s="351">
        <f>'t3'!M10+'t3'!N10+'t3'!O10+'t3'!P10+'t3'!Q10+'t3'!R10</f>
        <v>0</v>
      </c>
      <c r="F10" s="351">
        <f>'t4'!AB10</f>
        <v>0</v>
      </c>
      <c r="G10" s="349">
        <f>'t4'!G31</f>
        <v>0</v>
      </c>
      <c r="H10" s="351">
        <f>'t5'!S11+'t5'!T11</f>
        <v>0</v>
      </c>
      <c r="I10" s="372" t="str">
        <f t="shared" si="2"/>
        <v>OK</v>
      </c>
      <c r="J10" s="372" t="str">
        <f t="shared" si="0"/>
        <v>OK</v>
      </c>
      <c r="K10" s="372" t="str">
        <f t="shared" si="1"/>
        <v>OK</v>
      </c>
      <c r="L10" s="698">
        <f t="shared" si="3"/>
      </c>
    </row>
    <row r="11" spans="1:12" ht="12.75">
      <c r="A11" s="137" t="str">
        <f>'t1'!A11</f>
        <v>COORDINATORE DI BIBLIOTECA TECNICO E AMMINISTRATIVO(D)</v>
      </c>
      <c r="B11" s="326" t="str">
        <f>'t1'!B11</f>
        <v>013DTE</v>
      </c>
      <c r="C11" s="351">
        <f>'t11'!U13+'t11'!V13</f>
        <v>0</v>
      </c>
      <c r="D11" s="351">
        <f>'t1'!L11+'t1'!M11</f>
        <v>0</v>
      </c>
      <c r="E11" s="351">
        <f>'t3'!M11+'t3'!N11+'t3'!O11+'t3'!P11+'t3'!Q11+'t3'!R11</f>
        <v>0</v>
      </c>
      <c r="F11" s="351">
        <f>'t4'!AB11</f>
        <v>0</v>
      </c>
      <c r="G11" s="349">
        <f>'t4'!H31</f>
        <v>0</v>
      </c>
      <c r="H11" s="351">
        <f>'t5'!S12+'t5'!T12</f>
        <v>0</v>
      </c>
      <c r="I11" s="372" t="str">
        <f t="shared" si="2"/>
        <v>OK</v>
      </c>
      <c r="J11" s="372" t="str">
        <f t="shared" si="0"/>
        <v>OK</v>
      </c>
      <c r="K11" s="372" t="str">
        <f t="shared" si="1"/>
        <v>OK</v>
      </c>
      <c r="L11" s="698">
        <f t="shared" si="3"/>
      </c>
    </row>
    <row r="12" spans="1:12" ht="12.75">
      <c r="A12" s="137" t="str">
        <f>'t1'!A12</f>
        <v>COLLABORATORE TEC. AMMIN. DI BIBLIOT. E DI LAB. (C)</v>
      </c>
      <c r="B12" s="326" t="str">
        <f>'t1'!B12</f>
        <v>013CTE</v>
      </c>
      <c r="C12" s="351">
        <f>'t11'!U14+'t11'!V14</f>
        <v>0</v>
      </c>
      <c r="D12" s="351">
        <f>'t1'!L12+'t1'!M12</f>
        <v>0</v>
      </c>
      <c r="E12" s="351">
        <f>'t3'!M12+'t3'!N12+'t3'!O12+'t3'!P12+'t3'!Q12+'t3'!R12</f>
        <v>0</v>
      </c>
      <c r="F12" s="351">
        <f>'t4'!AB12</f>
        <v>0</v>
      </c>
      <c r="G12" s="349">
        <f>'t4'!I31</f>
        <v>0</v>
      </c>
      <c r="H12" s="351">
        <f>'t5'!S13+'t5'!T13</f>
        <v>0</v>
      </c>
      <c r="I12" s="372" t="str">
        <f t="shared" si="2"/>
        <v>OK</v>
      </c>
      <c r="J12" s="372" t="str">
        <f t="shared" si="0"/>
        <v>OK</v>
      </c>
      <c r="K12" s="372" t="str">
        <f t="shared" si="1"/>
        <v>OK</v>
      </c>
      <c r="L12" s="698">
        <f t="shared" si="3"/>
      </c>
    </row>
    <row r="13" spans="1:12" ht="12.75">
      <c r="A13" s="137" t="str">
        <f>'t1'!A13</f>
        <v>ASSISTENTE AMMINISTRATIVO (B)</v>
      </c>
      <c r="B13" s="326" t="str">
        <f>'t1'!B13</f>
        <v>012117</v>
      </c>
      <c r="C13" s="351">
        <f>'t11'!U15+'t11'!V15</f>
        <v>185</v>
      </c>
      <c r="D13" s="351">
        <f>'t1'!L13+'t1'!M13</f>
        <v>4</v>
      </c>
      <c r="E13" s="351">
        <f>'t3'!M13+'t3'!N13+'t3'!O13+'t3'!P13+'t3'!Q13+'t3'!R13</f>
        <v>0</v>
      </c>
      <c r="F13" s="351">
        <f>'t4'!AB13</f>
        <v>0</v>
      </c>
      <c r="G13" s="349">
        <f>'t4'!J31</f>
        <v>0</v>
      </c>
      <c r="H13" s="351">
        <f>'t5'!S14+'t5'!T14</f>
        <v>0</v>
      </c>
      <c r="I13" s="372" t="str">
        <f t="shared" si="2"/>
        <v>OK</v>
      </c>
      <c r="J13" s="372" t="str">
        <f t="shared" si="0"/>
        <v>OK</v>
      </c>
      <c r="K13" s="372" t="str">
        <f t="shared" si="1"/>
        <v>OK</v>
      </c>
      <c r="L13" s="698">
        <f t="shared" si="3"/>
      </c>
    </row>
    <row r="14" spans="1:12" ht="12.75">
      <c r="A14" s="137" t="str">
        <f>'t1'!A14</f>
        <v>COADIUTORE (A)</v>
      </c>
      <c r="B14" s="326" t="str">
        <f>'t1'!B14</f>
        <v>011121</v>
      </c>
      <c r="C14" s="351">
        <f>'t11'!U16+'t11'!V16</f>
        <v>299</v>
      </c>
      <c r="D14" s="351">
        <f>'t1'!L14+'t1'!M14</f>
        <v>6</v>
      </c>
      <c r="E14" s="351">
        <f>'t3'!M14+'t3'!N14+'t3'!O14+'t3'!P14+'t3'!Q14+'t3'!R14</f>
        <v>0</v>
      </c>
      <c r="F14" s="351">
        <f>'t4'!AB14</f>
        <v>0</v>
      </c>
      <c r="G14" s="349">
        <f>'t4'!K31</f>
        <v>0</v>
      </c>
      <c r="H14" s="351">
        <f>'t5'!S15+'t5'!T15</f>
        <v>0</v>
      </c>
      <c r="I14" s="372" t="str">
        <f t="shared" si="2"/>
        <v>OK</v>
      </c>
      <c r="J14" s="372" t="str">
        <f t="shared" si="0"/>
        <v>OK</v>
      </c>
      <c r="K14" s="372" t="str">
        <f t="shared" si="1"/>
        <v>OK</v>
      </c>
      <c r="L14" s="698">
        <f t="shared" si="3"/>
      </c>
    </row>
    <row r="15" spans="1:12" ht="12.75">
      <c r="A15" s="137" t="str">
        <f>'t1'!A15</f>
        <v>PROFESSORI DI PRIMA FASCIA TEMPO DET.ANNUALE</v>
      </c>
      <c r="B15" s="326" t="str">
        <f>'t1'!B15</f>
        <v>018PD1</v>
      </c>
      <c r="C15" s="351">
        <f>'t11'!U17+'t11'!V17</f>
        <v>774</v>
      </c>
      <c r="D15" s="351">
        <f>'t1'!L15+'t1'!M15</f>
        <v>22</v>
      </c>
      <c r="E15" s="351">
        <f>'t3'!M15+'t3'!N15+'t3'!O15+'t3'!P15+'t3'!Q15+'t3'!R15</f>
        <v>0</v>
      </c>
      <c r="F15" s="351">
        <f>'t4'!AB15</f>
        <v>0</v>
      </c>
      <c r="G15" s="349">
        <f>'t4'!L31</f>
        <v>0</v>
      </c>
      <c r="H15" s="351">
        <f>'t5'!S16+'t5'!T16</f>
        <v>0</v>
      </c>
      <c r="I15" s="372" t="str">
        <f t="shared" si="2"/>
        <v>OK</v>
      </c>
      <c r="J15" s="372" t="str">
        <f t="shared" si="0"/>
        <v>OK</v>
      </c>
      <c r="K15" s="372" t="str">
        <f t="shared" si="1"/>
        <v>OK</v>
      </c>
      <c r="L15" s="698">
        <f t="shared" si="3"/>
      </c>
    </row>
    <row r="16" spans="1:12" ht="12.75">
      <c r="A16" s="137" t="str">
        <f>'t1'!A16</f>
        <v>PROFESSORI DI SECONDA FASCIA TEMPO DET.ANNUALE</v>
      </c>
      <c r="B16" s="326" t="str">
        <f>'t1'!B16</f>
        <v>016PD2</v>
      </c>
      <c r="C16" s="351">
        <f>'t11'!U18+'t11'!V18</f>
        <v>107</v>
      </c>
      <c r="D16" s="351">
        <f>'t1'!L16+'t1'!M16</f>
        <v>6</v>
      </c>
      <c r="E16" s="351">
        <f>'t3'!M16+'t3'!N16+'t3'!O16+'t3'!P16+'t3'!Q16+'t3'!R16</f>
        <v>0</v>
      </c>
      <c r="F16" s="351">
        <f>'t4'!AB16</f>
        <v>0</v>
      </c>
      <c r="G16" s="349">
        <f>'t4'!M31</f>
        <v>0</v>
      </c>
      <c r="H16" s="351">
        <f>'t5'!S17+'t5'!T17</f>
        <v>0</v>
      </c>
      <c r="I16" s="372" t="str">
        <f t="shared" si="2"/>
        <v>OK</v>
      </c>
      <c r="J16" s="372" t="str">
        <f t="shared" si="0"/>
        <v>OK</v>
      </c>
      <c r="K16" s="372" t="str">
        <f t="shared" si="1"/>
        <v>OK</v>
      </c>
      <c r="L16" s="698">
        <f t="shared" si="3"/>
      </c>
    </row>
    <row r="17" spans="1:12" ht="12.75">
      <c r="A17" s="137" t="str">
        <f>'t1'!A17</f>
        <v>PROFESSORI DI PRIMA FASCIA T. DET. TERMINE ATTIV DIDATT</v>
      </c>
      <c r="B17" s="326" t="str">
        <f>'t1'!B17</f>
        <v>018DD1</v>
      </c>
      <c r="C17" s="351">
        <f>'t11'!U19+'t11'!V19</f>
        <v>0</v>
      </c>
      <c r="D17" s="351">
        <f>'t1'!L17+'t1'!M17</f>
        <v>0</v>
      </c>
      <c r="E17" s="351">
        <f>'t3'!M17+'t3'!N17+'t3'!O17+'t3'!P17+'t3'!Q17+'t3'!R17</f>
        <v>0</v>
      </c>
      <c r="F17" s="351">
        <f>'t4'!AB17</f>
        <v>0</v>
      </c>
      <c r="G17" s="349">
        <f>'t4'!N31</f>
        <v>0</v>
      </c>
      <c r="H17" s="351">
        <f>'t5'!S18+'t5'!T18</f>
        <v>0</v>
      </c>
      <c r="I17" s="372" t="str">
        <f t="shared" si="2"/>
        <v>OK</v>
      </c>
      <c r="J17" s="372" t="str">
        <f t="shared" si="0"/>
        <v>OK</v>
      </c>
      <c r="K17" s="372" t="str">
        <f t="shared" si="1"/>
        <v>OK</v>
      </c>
      <c r="L17" s="698">
        <f t="shared" si="3"/>
      </c>
    </row>
    <row r="18" spans="1:12" ht="12.75">
      <c r="A18" s="137" t="str">
        <f>'t1'!A18</f>
        <v>PROFESSORI DI SECONDA FASCIA T. DET. TERMINE ATTIV DIDATT</v>
      </c>
      <c r="B18" s="326" t="str">
        <f>'t1'!B18</f>
        <v>016DD2</v>
      </c>
      <c r="C18" s="351">
        <f>'t11'!U20+'t11'!V20</f>
        <v>0</v>
      </c>
      <c r="D18" s="351">
        <f>'t1'!L18+'t1'!M18</f>
        <v>0</v>
      </c>
      <c r="E18" s="351">
        <f>'t3'!M18+'t3'!N18+'t3'!O18+'t3'!P18+'t3'!Q18+'t3'!R18</f>
        <v>0</v>
      </c>
      <c r="F18" s="351">
        <f>'t4'!AB18</f>
        <v>0</v>
      </c>
      <c r="G18" s="349">
        <f>'t4'!O31</f>
        <v>0</v>
      </c>
      <c r="H18" s="351">
        <f>'t5'!S19+'t5'!T19</f>
        <v>0</v>
      </c>
      <c r="I18" s="372" t="str">
        <f t="shared" si="2"/>
        <v>OK</v>
      </c>
      <c r="J18" s="372" t="str">
        <f t="shared" si="0"/>
        <v>OK</v>
      </c>
      <c r="K18" s="372" t="str">
        <f t="shared" si="1"/>
        <v>OK</v>
      </c>
      <c r="L18" s="698">
        <f t="shared" si="3"/>
      </c>
    </row>
    <row r="19" spans="1:12" ht="12.75">
      <c r="A19" s="137" t="str">
        <f>'t1'!A19</f>
        <v>DIRETTORE AMMINISTRATIVO TEMPO DET.ANNUALE (EP2)</v>
      </c>
      <c r="B19" s="326" t="str">
        <f>'t1'!B19</f>
        <v>013EP2</v>
      </c>
      <c r="C19" s="351">
        <f>'t11'!U21+'t11'!V21</f>
        <v>0</v>
      </c>
      <c r="D19" s="351">
        <f>'t1'!L19+'t1'!M19</f>
        <v>0</v>
      </c>
      <c r="E19" s="351">
        <f>'t3'!M19+'t3'!N19+'t3'!O19+'t3'!P19+'t3'!Q19+'t3'!R19</f>
        <v>0</v>
      </c>
      <c r="F19" s="351">
        <f>'t4'!AB19</f>
        <v>0</v>
      </c>
      <c r="G19" s="349">
        <f>'t4'!P31</f>
        <v>0</v>
      </c>
      <c r="H19" s="351">
        <f>'t5'!S20+'t5'!T20</f>
        <v>0</v>
      </c>
      <c r="I19" s="372" t="str">
        <f t="shared" si="2"/>
        <v>OK</v>
      </c>
      <c r="J19" s="372" t="str">
        <f t="shared" si="0"/>
        <v>OK</v>
      </c>
      <c r="K19" s="372" t="str">
        <f t="shared" si="1"/>
        <v>OK</v>
      </c>
      <c r="L19" s="698">
        <f t="shared" si="3"/>
      </c>
    </row>
    <row r="20" spans="1:12" ht="12.75">
      <c r="A20" s="137" t="str">
        <f>'t1'!A20</f>
        <v>DIRETTORE DELL UFFICIO DI RAGIONERIA TEMPO DET.ANNUALE (EP1)</v>
      </c>
      <c r="B20" s="326" t="str">
        <f>'t1'!B20</f>
        <v>013160</v>
      </c>
      <c r="C20" s="351">
        <f>'t11'!U22+'t11'!V22</f>
        <v>0</v>
      </c>
      <c r="D20" s="351">
        <f>'t1'!L20+'t1'!M20</f>
        <v>0</v>
      </c>
      <c r="E20" s="351">
        <f>'t3'!M20+'t3'!N20+'t3'!O20+'t3'!P20+'t3'!Q20+'t3'!R20</f>
        <v>0</v>
      </c>
      <c r="F20" s="351">
        <f>'t4'!AB20</f>
        <v>0</v>
      </c>
      <c r="G20" s="349">
        <f>'t4'!Q31</f>
        <v>0</v>
      </c>
      <c r="H20" s="351">
        <f>'t5'!S21+'t5'!T21</f>
        <v>0</v>
      </c>
      <c r="I20" s="372" t="str">
        <f t="shared" si="2"/>
        <v>OK</v>
      </c>
      <c r="J20" s="372" t="str">
        <f t="shared" si="0"/>
        <v>OK</v>
      </c>
      <c r="K20" s="372" t="str">
        <f t="shared" si="1"/>
        <v>OK</v>
      </c>
      <c r="L20" s="698">
        <f t="shared" si="3"/>
      </c>
    </row>
    <row r="21" spans="1:12" ht="12.75">
      <c r="A21" s="137" t="str">
        <f>'t1'!A21</f>
        <v>DIRETTORE AMMINISTRATIVO T. DET. TERMINE ATTIV DIDATT(EP2)</v>
      </c>
      <c r="B21" s="326" t="str">
        <f>'t1'!B21</f>
        <v>013E2N</v>
      </c>
      <c r="C21" s="351">
        <f>'t11'!U23+'t11'!V23</f>
        <v>0</v>
      </c>
      <c r="D21" s="351">
        <f>'t1'!L21+'t1'!M21</f>
        <v>0</v>
      </c>
      <c r="E21" s="351">
        <f>'t3'!M21+'t3'!N21+'t3'!O21+'t3'!P21+'t3'!Q21+'t3'!R21</f>
        <v>0</v>
      </c>
      <c r="F21" s="351">
        <f>'t4'!AB21</f>
        <v>0</v>
      </c>
      <c r="G21" s="349">
        <f>'t4'!R31</f>
        <v>0</v>
      </c>
      <c r="H21" s="351">
        <f>'t5'!S22+'t5'!T22</f>
        <v>0</v>
      </c>
      <c r="I21" s="372" t="str">
        <f t="shared" si="2"/>
        <v>OK</v>
      </c>
      <c r="J21" s="372" t="str">
        <f t="shared" si="0"/>
        <v>OK</v>
      </c>
      <c r="K21" s="372" t="str">
        <f t="shared" si="1"/>
        <v>OK</v>
      </c>
      <c r="L21" s="698">
        <f t="shared" si="3"/>
      </c>
    </row>
    <row r="22" spans="1:12" ht="12.75">
      <c r="A22" s="137" t="str">
        <f>'t1'!A22</f>
        <v>DIRETTORE UFF. RAGIONERIA T. DET. TERM. ATTIV DIDATT(EP1)</v>
      </c>
      <c r="B22" s="326" t="str">
        <f>'t1'!B22</f>
        <v>013E1N</v>
      </c>
      <c r="C22" s="351">
        <f>'t11'!U24+'t11'!V24</f>
        <v>0</v>
      </c>
      <c r="D22" s="351">
        <f>'t1'!L22+'t1'!M22</f>
        <v>0</v>
      </c>
      <c r="E22" s="351">
        <f>'t3'!M22+'t3'!N22+'t3'!O22+'t3'!P22+'t3'!Q22+'t3'!R22</f>
        <v>0</v>
      </c>
      <c r="F22" s="351">
        <f>'t4'!AB22</f>
        <v>0</v>
      </c>
      <c r="G22" s="349">
        <f>'t4'!S31</f>
        <v>0</v>
      </c>
      <c r="H22" s="351">
        <f>'t5'!S23+'t5'!T23</f>
        <v>0</v>
      </c>
      <c r="I22" s="372" t="str">
        <f t="shared" si="2"/>
        <v>OK</v>
      </c>
      <c r="J22" s="372" t="str">
        <f t="shared" si="0"/>
        <v>OK</v>
      </c>
      <c r="K22" s="372" t="str">
        <f t="shared" si="1"/>
        <v>OK</v>
      </c>
      <c r="L22" s="698">
        <f t="shared" si="3"/>
      </c>
    </row>
    <row r="23" spans="1:12" ht="12.75">
      <c r="A23" s="137" t="str">
        <f>'t1'!A23</f>
        <v>COORD. DI BIBLIOT., COORD. TEC. E AMM. TEMPO DET.ANNUALE</v>
      </c>
      <c r="B23" s="326" t="str">
        <f>'t1'!B23</f>
        <v>013DDE</v>
      </c>
      <c r="C23" s="351">
        <f>'t11'!U25+'t11'!V25</f>
        <v>0</v>
      </c>
      <c r="D23" s="351">
        <f>'t1'!L23+'t1'!M23</f>
        <v>0</v>
      </c>
      <c r="E23" s="351">
        <f>'t3'!M23+'t3'!N23+'t3'!O23+'t3'!P23+'t3'!Q23+'t3'!R23</f>
        <v>0</v>
      </c>
      <c r="F23" s="351">
        <f>'t4'!AB23</f>
        <v>0</v>
      </c>
      <c r="G23" s="349">
        <f>'t4'!T31</f>
        <v>0</v>
      </c>
      <c r="H23" s="351">
        <f>'t5'!S24+'t5'!T24</f>
        <v>0</v>
      </c>
      <c r="I23" s="372" t="str">
        <f t="shared" si="2"/>
        <v>OK</v>
      </c>
      <c r="J23" s="372" t="str">
        <f t="shared" si="0"/>
        <v>OK</v>
      </c>
      <c r="K23" s="372" t="str">
        <f t="shared" si="1"/>
        <v>OK</v>
      </c>
      <c r="L23" s="698">
        <f t="shared" si="3"/>
      </c>
    </row>
    <row r="24" spans="1:12" ht="12.75">
      <c r="A24" s="137" t="str">
        <f>'t1'!A24</f>
        <v>COLLAB. TEC. AMMIN. DI BIBLIOT. E DI LAB. TEMPO DET.ANNUALE</v>
      </c>
      <c r="B24" s="326" t="str">
        <f>'t1'!B24</f>
        <v>013CDE</v>
      </c>
      <c r="C24" s="351">
        <f>'t11'!U26+'t11'!V26</f>
        <v>0</v>
      </c>
      <c r="D24" s="351">
        <f>'t1'!L24+'t1'!M24</f>
        <v>0</v>
      </c>
      <c r="E24" s="351">
        <f>'t3'!M24+'t3'!N24+'t3'!O24+'t3'!P24+'t3'!Q24+'t3'!R24</f>
        <v>0</v>
      </c>
      <c r="F24" s="351">
        <f>'t4'!AB24</f>
        <v>0</v>
      </c>
      <c r="G24" s="349">
        <f>'t4'!U31</f>
        <v>0</v>
      </c>
      <c r="H24" s="351">
        <f>'t5'!S25+'t5'!T25</f>
        <v>0</v>
      </c>
      <c r="I24" s="372" t="str">
        <f t="shared" si="2"/>
        <v>OK</v>
      </c>
      <c r="J24" s="372" t="str">
        <f t="shared" si="0"/>
        <v>OK</v>
      </c>
      <c r="K24" s="372" t="str">
        <f t="shared" si="1"/>
        <v>OK</v>
      </c>
      <c r="L24" s="698">
        <f t="shared" si="3"/>
      </c>
    </row>
    <row r="25" spans="1:12" ht="12.75">
      <c r="A25" s="137" t="str">
        <f>'t1'!A25</f>
        <v>ASSIST. AMMINISTRATIVO TEMPO DET.ANNUALE</v>
      </c>
      <c r="B25" s="326" t="str">
        <f>'t1'!B25</f>
        <v>012118</v>
      </c>
      <c r="C25" s="351">
        <f>'t11'!U27+'t11'!V27</f>
        <v>27</v>
      </c>
      <c r="D25" s="351">
        <f>'t1'!L25+'t1'!M25</f>
        <v>1</v>
      </c>
      <c r="E25" s="351">
        <f>'t3'!M25+'t3'!N25+'t3'!O25+'t3'!P25+'t3'!Q25+'t3'!R25</f>
        <v>0</v>
      </c>
      <c r="F25" s="351">
        <f>'t4'!AB25</f>
        <v>0</v>
      </c>
      <c r="G25" s="349">
        <f>'t4'!V31</f>
        <v>0</v>
      </c>
      <c r="H25" s="351">
        <f>'t5'!S26+'t5'!T26</f>
        <v>0</v>
      </c>
      <c r="I25" s="372" t="str">
        <f t="shared" si="2"/>
        <v>OK</v>
      </c>
      <c r="J25" s="372" t="str">
        <f t="shared" si="0"/>
        <v>OK</v>
      </c>
      <c r="K25" s="372" t="str">
        <f t="shared" si="1"/>
        <v>OK</v>
      </c>
      <c r="L25" s="698">
        <f t="shared" si="3"/>
      </c>
    </row>
    <row r="26" spans="1:12" ht="12.75">
      <c r="A26" s="137" t="str">
        <f>'t1'!A26</f>
        <v>COADIUTORE TEMPO DET.ANNUALE</v>
      </c>
      <c r="B26" s="326" t="str">
        <f>'t1'!B26</f>
        <v>011124</v>
      </c>
      <c r="C26" s="351">
        <f>'t11'!U28+'t11'!V28</f>
        <v>127</v>
      </c>
      <c r="D26" s="351">
        <f>'t1'!L26+'t1'!M26</f>
        <v>4</v>
      </c>
      <c r="E26" s="351">
        <f>'t3'!M26+'t3'!N26+'t3'!O26+'t3'!P26+'t3'!Q26+'t3'!R26</f>
        <v>0</v>
      </c>
      <c r="F26" s="351">
        <f>'t4'!AB26</f>
        <v>0</v>
      </c>
      <c r="G26" s="349">
        <f>'t4'!W31</f>
        <v>0</v>
      </c>
      <c r="H26" s="351">
        <f>'t5'!S27+'t5'!T27</f>
        <v>0</v>
      </c>
      <c r="I26" s="372" t="str">
        <f t="shared" si="2"/>
        <v>OK</v>
      </c>
      <c r="J26" s="372" t="str">
        <f t="shared" si="0"/>
        <v>OK</v>
      </c>
      <c r="K26" s="372" t="str">
        <f t="shared" si="1"/>
        <v>OK</v>
      </c>
      <c r="L26" s="698">
        <f t="shared" si="3"/>
      </c>
    </row>
    <row r="27" spans="1:12" ht="12.75">
      <c r="A27" s="137" t="str">
        <f>'t1'!A27</f>
        <v>COORD. BIBL., COORD. TEC. E AMM. T. DET. TERM. ATTIV DIDATT</v>
      </c>
      <c r="B27" s="326" t="str">
        <f>'t1'!B27</f>
        <v>013DDN</v>
      </c>
      <c r="C27" s="351">
        <f>'t11'!U29+'t11'!V29</f>
        <v>0</v>
      </c>
      <c r="D27" s="351">
        <f>'t1'!L27+'t1'!M27</f>
        <v>0</v>
      </c>
      <c r="E27" s="351">
        <f>'t3'!M27+'t3'!N27+'t3'!O27+'t3'!P27+'t3'!Q27+'t3'!R27</f>
        <v>0</v>
      </c>
      <c r="F27" s="351">
        <f>'t4'!AB27</f>
        <v>0</v>
      </c>
      <c r="G27" s="349">
        <f>'t4'!X31</f>
        <v>0</v>
      </c>
      <c r="H27" s="351">
        <f>'t5'!S28+'t5'!T28</f>
        <v>0</v>
      </c>
      <c r="I27" s="372" t="str">
        <f t="shared" si="2"/>
        <v>OK</v>
      </c>
      <c r="J27" s="372" t="str">
        <f t="shared" si="0"/>
        <v>OK</v>
      </c>
      <c r="K27" s="372" t="str">
        <f t="shared" si="1"/>
        <v>OK</v>
      </c>
      <c r="L27" s="698">
        <f t="shared" si="3"/>
      </c>
    </row>
    <row r="28" spans="1:12" ht="12.75">
      <c r="A28" s="137" t="str">
        <f>'t1'!A28</f>
        <v>COLLAB. TEC. AMM. BIBL. E DI LAB. T. D. TERM. ATTIV DIDATT</v>
      </c>
      <c r="B28" s="326" t="str">
        <f>'t1'!B28</f>
        <v>013CDN</v>
      </c>
      <c r="C28" s="351">
        <f>'t11'!U30+'t11'!V30</f>
        <v>0</v>
      </c>
      <c r="D28" s="351">
        <f>'t1'!L28+'t1'!M28</f>
        <v>0</v>
      </c>
      <c r="E28" s="351">
        <f>'t3'!M28+'t3'!N28+'t3'!O28+'t3'!P28+'t3'!Q28+'t3'!R28</f>
        <v>0</v>
      </c>
      <c r="F28" s="351">
        <f>'t4'!AB28</f>
        <v>0</v>
      </c>
      <c r="G28" s="349">
        <f>'t4'!Y31</f>
        <v>0</v>
      </c>
      <c r="H28" s="351">
        <f>'t5'!S29+'t5'!T29</f>
        <v>0</v>
      </c>
      <c r="I28" s="372" t="str">
        <f t="shared" si="2"/>
        <v>OK</v>
      </c>
      <c r="J28" s="372" t="str">
        <f t="shared" si="0"/>
        <v>OK</v>
      </c>
      <c r="K28" s="372" t="str">
        <f t="shared" si="1"/>
        <v>OK</v>
      </c>
      <c r="L28" s="698">
        <f t="shared" si="3"/>
      </c>
    </row>
    <row r="29" spans="1:12" ht="12.75">
      <c r="A29" s="137" t="str">
        <f>'t1'!A29</f>
        <v>ASSISTENTE AMMINISTRATIVO TEM.DET. TERMINE ATTIV DIDATT</v>
      </c>
      <c r="B29" s="326" t="str">
        <f>'t1'!B29</f>
        <v>016509</v>
      </c>
      <c r="C29" s="351">
        <f>'t11'!U31+'t11'!V31</f>
        <v>0</v>
      </c>
      <c r="D29" s="351">
        <f>'t1'!L29+'t1'!M29</f>
        <v>0</v>
      </c>
      <c r="E29" s="351">
        <f>'t3'!M29+'t3'!N29+'t3'!O29+'t3'!P29+'t3'!Q29+'t3'!R29</f>
        <v>0</v>
      </c>
      <c r="F29" s="351">
        <f>'t4'!AB29</f>
        <v>0</v>
      </c>
      <c r="G29" s="349">
        <f>'t4'!Z31</f>
        <v>0</v>
      </c>
      <c r="H29" s="351">
        <f>'t5'!S30+'t5'!T30</f>
        <v>0</v>
      </c>
      <c r="I29" s="372" t="str">
        <f t="shared" si="2"/>
        <v>OK</v>
      </c>
      <c r="J29" s="372" t="str">
        <f t="shared" si="0"/>
        <v>OK</v>
      </c>
      <c r="K29" s="372" t="str">
        <f t="shared" si="1"/>
        <v>OK</v>
      </c>
      <c r="L29" s="698">
        <f t="shared" si="3"/>
      </c>
    </row>
    <row r="30" spans="1:12" ht="12.75">
      <c r="A30" s="137" t="str">
        <f>'t1'!A30</f>
        <v>COADIUTORE TEMPO DET. TERMINE ATTIV DIDATT</v>
      </c>
      <c r="B30" s="326" t="str">
        <f>'t1'!B30</f>
        <v>011CNA</v>
      </c>
      <c r="C30" s="351">
        <f>'t11'!U32+'t11'!V32</f>
        <v>0</v>
      </c>
      <c r="D30" s="351">
        <f>'t1'!L30+'t1'!M30</f>
        <v>0</v>
      </c>
      <c r="E30" s="351">
        <f>'t3'!M30+'t3'!N30+'t3'!O30+'t3'!P30+'t3'!Q30+'t3'!R30</f>
        <v>0</v>
      </c>
      <c r="F30" s="351">
        <f>'t4'!AB30</f>
        <v>0</v>
      </c>
      <c r="G30" s="349">
        <f>'t4'!AA31</f>
        <v>0</v>
      </c>
      <c r="H30" s="351">
        <f>'t5'!S31+'t5'!T31</f>
        <v>0</v>
      </c>
      <c r="I30" s="372" t="str">
        <f t="shared" si="2"/>
        <v>OK</v>
      </c>
      <c r="J30" s="372" t="str">
        <f t="shared" si="0"/>
        <v>OK</v>
      </c>
      <c r="K30" s="372" t="str">
        <f t="shared" si="1"/>
        <v>OK</v>
      </c>
      <c r="L30" s="698">
        <f t="shared" si="3"/>
      </c>
    </row>
  </sheetData>
  <sheetProtection password="EA98" sheet="1" formatColumns="0" selectLockedCells="1" selectUnlockedCells="1"/>
  <mergeCells count="2">
    <mergeCell ref="A1:K1"/>
    <mergeCell ref="D2:K2"/>
  </mergeCells>
  <conditionalFormatting sqref="I6:I30">
    <cfRule type="notContainsText" priority="1" dxfId="28" operator="notContains" stopIfTrue="1" text="ok">
      <formula>ISERROR(SEARCH("ok",I6))</formula>
    </cfRule>
  </conditionalFormatting>
  <printOptions horizontalCentered="1"/>
  <pageMargins left="0.1968503937007874" right="0.1968503937007874" top="0.1968503937007874" bottom="0.15748031496062992" header="0.15748031496062992" footer="0.15748031496062992"/>
  <pageSetup horizontalDpi="600" verticalDpi="600" orientation="landscape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3"/>
  <dimension ref="A1:M30"/>
  <sheetViews>
    <sheetView showGridLines="0" zoomScalePageLayoutView="0" workbookViewId="0" topLeftCell="A1">
      <pane xSplit="2" ySplit="5" topLeftCell="C6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9.33203125" defaultRowHeight="10.5"/>
  <cols>
    <col min="1" max="1" width="57.83203125" style="5" customWidth="1"/>
    <col min="2" max="2" width="10" style="7" customWidth="1"/>
    <col min="3" max="4" width="17.83203125" style="7" customWidth="1"/>
    <col min="5" max="5" width="16.33203125" style="7" customWidth="1"/>
    <col min="6" max="6" width="15.83203125" style="108" customWidth="1"/>
    <col min="7" max="7" width="18.33203125" style="108" customWidth="1"/>
    <col min="8" max="8" width="16.33203125" style="7" customWidth="1"/>
    <col min="9" max="9" width="15.83203125" style="108" customWidth="1"/>
    <col min="10" max="10" width="18.33203125" style="7" customWidth="1"/>
  </cols>
  <sheetData>
    <row r="1" spans="1:13" s="5" customFormat="1" ht="43.5" customHeight="1">
      <c r="A1" s="1155" t="str">
        <f>'t1'!A1</f>
        <v>COMPARTO AFAM - anno 2016</v>
      </c>
      <c r="B1" s="1155"/>
      <c r="C1" s="1155"/>
      <c r="D1" s="1155"/>
      <c r="E1" s="1155"/>
      <c r="F1" s="1155"/>
      <c r="G1" s="1155"/>
      <c r="H1" s="1155"/>
      <c r="I1" s="1155"/>
      <c r="J1" s="1155"/>
      <c r="K1" s="3"/>
      <c r="M1"/>
    </row>
    <row r="2" spans="4:13" s="5" customFormat="1" ht="12.75" customHeight="1">
      <c r="D2" s="1237"/>
      <c r="E2" s="1237"/>
      <c r="F2" s="1237"/>
      <c r="G2" s="1237"/>
      <c r="H2" s="1237"/>
      <c r="I2" s="1237"/>
      <c r="J2" s="1237"/>
      <c r="K2" s="3"/>
      <c r="M2"/>
    </row>
    <row r="3" spans="1:3" s="5" customFormat="1" ht="21" customHeight="1">
      <c r="A3" s="197" t="s">
        <v>435</v>
      </c>
      <c r="B3" s="7"/>
      <c r="C3" s="7"/>
    </row>
    <row r="4" spans="1:10" ht="33.75">
      <c r="A4" s="183" t="s">
        <v>244</v>
      </c>
      <c r="B4" s="185" t="s">
        <v>206</v>
      </c>
      <c r="C4" s="645" t="s">
        <v>308</v>
      </c>
      <c r="D4" s="184" t="s">
        <v>315</v>
      </c>
      <c r="E4" s="645" t="s">
        <v>428</v>
      </c>
      <c r="F4" s="645" t="s">
        <v>434</v>
      </c>
      <c r="G4" s="184" t="s">
        <v>373</v>
      </c>
      <c r="H4" s="645" t="s">
        <v>429</v>
      </c>
      <c r="I4" s="645" t="s">
        <v>434</v>
      </c>
      <c r="J4" s="645" t="s">
        <v>430</v>
      </c>
    </row>
    <row r="5" spans="1:10" s="201" customFormat="1" ht="10.5">
      <c r="A5" s="182"/>
      <c r="B5" s="195"/>
      <c r="C5" s="195" t="s">
        <v>208</v>
      </c>
      <c r="D5" s="199" t="s">
        <v>209</v>
      </c>
      <c r="E5" s="199" t="s">
        <v>426</v>
      </c>
      <c r="F5" s="199" t="s">
        <v>432</v>
      </c>
      <c r="G5" s="199" t="s">
        <v>212</v>
      </c>
      <c r="H5" s="199" t="s">
        <v>427</v>
      </c>
      <c r="I5" s="199" t="s">
        <v>433</v>
      </c>
      <c r="J5" s="199"/>
    </row>
    <row r="6" spans="1:10" ht="12.75">
      <c r="A6" s="137" t="str">
        <f>'t1'!A6</f>
        <v>DIRIGENTE SCOLASTICO</v>
      </c>
      <c r="B6" s="326" t="str">
        <f>'t1'!B6</f>
        <v>0D0158</v>
      </c>
      <c r="C6" s="351">
        <f>'t13'!V6</f>
        <v>0</v>
      </c>
      <c r="D6" s="351">
        <f>'t13'!S6</f>
        <v>0</v>
      </c>
      <c r="E6" s="353" t="str">
        <f>IF($C6=0," ",IF(D6=0," ",D6/$C6))</f>
        <v> </v>
      </c>
      <c r="F6" s="331" t="str">
        <f>IF($C6=0," ",IF(D6=0," ",IF(E6&gt;0.2,"ERRORE","OK")))</f>
        <v> </v>
      </c>
      <c r="G6" s="351">
        <f>'t13'!T6</f>
        <v>0</v>
      </c>
      <c r="H6" s="353" t="str">
        <f>IF($C6=0," ",IF(G6=0," ",G6/$C6))</f>
        <v> </v>
      </c>
      <c r="I6" s="331" t="str">
        <f>IF($C6=0," ",IF(G6=0," ",IF(H6&gt;0.2,"ERRORE","OK")))</f>
        <v> </v>
      </c>
      <c r="J6" s="372" t="str">
        <f>IF(OR(F6="ERRORE",I6="ERRORE"),"ERRORE","OK")</f>
        <v>OK</v>
      </c>
    </row>
    <row r="7" spans="1:10" ht="12.75">
      <c r="A7" s="137" t="str">
        <f>'t1'!A7</f>
        <v>PROFESSORI DI PRIMA FASCIA</v>
      </c>
      <c r="B7" s="326" t="str">
        <f>'t1'!B7</f>
        <v>018P01</v>
      </c>
      <c r="C7" s="351">
        <f>'t13'!V7</f>
        <v>1415</v>
      </c>
      <c r="D7" s="351">
        <f>'t13'!S7</f>
        <v>0</v>
      </c>
      <c r="E7" s="353" t="str">
        <f aca="true" t="shared" si="0" ref="E7:E30">IF($C7=0," ",IF(D7=0," ",D7/$C7))</f>
        <v> </v>
      </c>
      <c r="F7" s="331" t="str">
        <f aca="true" t="shared" si="1" ref="F7:F30">IF($C7=0," ",IF(D7=0," ",IF(E7&gt;0.2,"ERRORE","OK")))</f>
        <v> </v>
      </c>
      <c r="G7" s="351">
        <f>'t13'!T7</f>
        <v>0</v>
      </c>
      <c r="H7" s="353" t="str">
        <f aca="true" t="shared" si="2" ref="H7:H30">IF($C7=0," ",IF(G7=0," ",G7/$C7))</f>
        <v> </v>
      </c>
      <c r="I7" s="331" t="str">
        <f aca="true" t="shared" si="3" ref="I7:I30">IF($C7=0," ",IF(G7=0," ",IF(H7&gt;0.2,"ERRORE","OK")))</f>
        <v> </v>
      </c>
      <c r="J7" s="372" t="str">
        <f aca="true" t="shared" si="4" ref="J7:J30">IF(OR(F7="ERRORE",I7="ERRORE"),"ERRORE","OK")</f>
        <v>OK</v>
      </c>
    </row>
    <row r="8" spans="1:10" ht="12.75">
      <c r="A8" s="137" t="str">
        <f>'t1'!A8</f>
        <v>PROFESSORI DI SECONDA FASCIA</v>
      </c>
      <c r="B8" s="326" t="str">
        <f>'t1'!B8</f>
        <v>016P02</v>
      </c>
      <c r="C8" s="351">
        <f>'t13'!V8</f>
        <v>15995</v>
      </c>
      <c r="D8" s="351">
        <f>'t13'!S8</f>
        <v>0</v>
      </c>
      <c r="E8" s="353" t="str">
        <f t="shared" si="0"/>
        <v> </v>
      </c>
      <c r="F8" s="331" t="str">
        <f t="shared" si="1"/>
        <v> </v>
      </c>
      <c r="G8" s="351">
        <f>'t13'!T8</f>
        <v>0</v>
      </c>
      <c r="H8" s="353" t="str">
        <f t="shared" si="2"/>
        <v> </v>
      </c>
      <c r="I8" s="331" t="str">
        <f t="shared" si="3"/>
        <v> </v>
      </c>
      <c r="J8" s="372" t="str">
        <f t="shared" si="4"/>
        <v>OK</v>
      </c>
    </row>
    <row r="9" spans="1:10" ht="12.75">
      <c r="A9" s="137" t="str">
        <f>'t1'!A9</f>
        <v>DIRETTORE AMMINISTRATIVO EP2</v>
      </c>
      <c r="B9" s="326" t="str">
        <f>'t1'!B9</f>
        <v>013504</v>
      </c>
      <c r="C9" s="351">
        <f>'t13'!V9</f>
        <v>0</v>
      </c>
      <c r="D9" s="351">
        <f>'t13'!S9</f>
        <v>0</v>
      </c>
      <c r="E9" s="353" t="str">
        <f t="shared" si="0"/>
        <v> </v>
      </c>
      <c r="F9" s="331" t="str">
        <f t="shared" si="1"/>
        <v> </v>
      </c>
      <c r="G9" s="351">
        <f>'t13'!T9</f>
        <v>0</v>
      </c>
      <c r="H9" s="353" t="str">
        <f t="shared" si="2"/>
        <v> </v>
      </c>
      <c r="I9" s="331" t="str">
        <f t="shared" si="3"/>
        <v> </v>
      </c>
      <c r="J9" s="372" t="str">
        <f t="shared" si="4"/>
        <v>OK</v>
      </c>
    </row>
    <row r="10" spans="1:10" ht="12.75">
      <c r="A10" s="137" t="str">
        <f>'t1'!A10</f>
        <v>DIRETTORE DELL UFFICIO DI RAGIONERIA (EP1)</v>
      </c>
      <c r="B10" s="326" t="str">
        <f>'t1'!B10</f>
        <v>013159</v>
      </c>
      <c r="C10" s="351">
        <f>'t13'!V10</f>
        <v>0</v>
      </c>
      <c r="D10" s="351">
        <f>'t13'!S10</f>
        <v>0</v>
      </c>
      <c r="E10" s="353" t="str">
        <f t="shared" si="0"/>
        <v> </v>
      </c>
      <c r="F10" s="331" t="str">
        <f t="shared" si="1"/>
        <v> </v>
      </c>
      <c r="G10" s="351">
        <f>'t13'!T10</f>
        <v>0</v>
      </c>
      <c r="H10" s="353" t="str">
        <f t="shared" si="2"/>
        <v> </v>
      </c>
      <c r="I10" s="331" t="str">
        <f t="shared" si="3"/>
        <v> </v>
      </c>
      <c r="J10" s="372" t="str">
        <f t="shared" si="4"/>
        <v>OK</v>
      </c>
    </row>
    <row r="11" spans="1:10" ht="12.75">
      <c r="A11" s="137" t="str">
        <f>'t1'!A11</f>
        <v>COORDINATORE DI BIBLIOTECA TECNICO E AMMINISTRATIVO(D)</v>
      </c>
      <c r="B11" s="326" t="str">
        <f>'t1'!B11</f>
        <v>013DTE</v>
      </c>
      <c r="C11" s="351">
        <f>'t13'!V11</f>
        <v>0</v>
      </c>
      <c r="D11" s="351">
        <f>'t13'!S11</f>
        <v>0</v>
      </c>
      <c r="E11" s="353" t="str">
        <f t="shared" si="0"/>
        <v> </v>
      </c>
      <c r="F11" s="331" t="str">
        <f t="shared" si="1"/>
        <v> </v>
      </c>
      <c r="G11" s="351">
        <f>'t13'!T11</f>
        <v>0</v>
      </c>
      <c r="H11" s="353" t="str">
        <f t="shared" si="2"/>
        <v> </v>
      </c>
      <c r="I11" s="331" t="str">
        <f t="shared" si="3"/>
        <v> </v>
      </c>
      <c r="J11" s="372" t="str">
        <f t="shared" si="4"/>
        <v>OK</v>
      </c>
    </row>
    <row r="12" spans="1:10" ht="12.75">
      <c r="A12" s="137" t="str">
        <f>'t1'!A12</f>
        <v>COLLABORATORE TEC. AMMIN. DI BIBLIOT. E DI LAB. (C)</v>
      </c>
      <c r="B12" s="326" t="str">
        <f>'t1'!B12</f>
        <v>013CTE</v>
      </c>
      <c r="C12" s="351">
        <f>'t13'!V12</f>
        <v>0</v>
      </c>
      <c r="D12" s="351">
        <f>'t13'!S12</f>
        <v>0</v>
      </c>
      <c r="E12" s="353" t="str">
        <f t="shared" si="0"/>
        <v> </v>
      </c>
      <c r="F12" s="331" t="str">
        <f t="shared" si="1"/>
        <v> </v>
      </c>
      <c r="G12" s="351">
        <f>'t13'!T12</f>
        <v>0</v>
      </c>
      <c r="H12" s="353" t="str">
        <f t="shared" si="2"/>
        <v> </v>
      </c>
      <c r="I12" s="331" t="str">
        <f t="shared" si="3"/>
        <v> </v>
      </c>
      <c r="J12" s="372" t="str">
        <f t="shared" si="4"/>
        <v>OK</v>
      </c>
    </row>
    <row r="13" spans="1:10" ht="12.75">
      <c r="A13" s="137" t="str">
        <f>'t1'!A13</f>
        <v>ASSISTENTE AMMINISTRATIVO (B)</v>
      </c>
      <c r="B13" s="326" t="str">
        <f>'t1'!B13</f>
        <v>012117</v>
      </c>
      <c r="C13" s="351">
        <f>'t13'!V13</f>
        <v>6094</v>
      </c>
      <c r="D13" s="351">
        <f>'t13'!S13</f>
        <v>0</v>
      </c>
      <c r="E13" s="353" t="str">
        <f t="shared" si="0"/>
        <v> </v>
      </c>
      <c r="F13" s="331" t="str">
        <f t="shared" si="1"/>
        <v> </v>
      </c>
      <c r="G13" s="351">
        <f>'t13'!T13</f>
        <v>0</v>
      </c>
      <c r="H13" s="353" t="str">
        <f t="shared" si="2"/>
        <v> </v>
      </c>
      <c r="I13" s="331" t="str">
        <f t="shared" si="3"/>
        <v> </v>
      </c>
      <c r="J13" s="372" t="str">
        <f t="shared" si="4"/>
        <v>OK</v>
      </c>
    </row>
    <row r="14" spans="1:10" ht="12.75">
      <c r="A14" s="137" t="str">
        <f>'t1'!A14</f>
        <v>COADIUTORE (A)</v>
      </c>
      <c r="B14" s="326" t="str">
        <f>'t1'!B14</f>
        <v>011121</v>
      </c>
      <c r="C14" s="351">
        <f>'t13'!V14</f>
        <v>0</v>
      </c>
      <c r="D14" s="351">
        <f>'t13'!S14</f>
        <v>0</v>
      </c>
      <c r="E14" s="353" t="str">
        <f t="shared" si="0"/>
        <v> </v>
      </c>
      <c r="F14" s="331" t="str">
        <f t="shared" si="1"/>
        <v> </v>
      </c>
      <c r="G14" s="351">
        <f>'t13'!T14</f>
        <v>0</v>
      </c>
      <c r="H14" s="353" t="str">
        <f t="shared" si="2"/>
        <v> </v>
      </c>
      <c r="I14" s="331" t="str">
        <f t="shared" si="3"/>
        <v> </v>
      </c>
      <c r="J14" s="372" t="str">
        <f t="shared" si="4"/>
        <v>OK</v>
      </c>
    </row>
    <row r="15" spans="1:10" ht="12.75">
      <c r="A15" s="137" t="str">
        <f>'t1'!A15</f>
        <v>PROFESSORI DI PRIMA FASCIA TEMPO DET.ANNUALE</v>
      </c>
      <c r="B15" s="326" t="str">
        <f>'t1'!B15</f>
        <v>018PD1</v>
      </c>
      <c r="C15" s="351">
        <f>'t13'!V15</f>
        <v>6600</v>
      </c>
      <c r="D15" s="351">
        <f>'t13'!S15</f>
        <v>0</v>
      </c>
      <c r="E15" s="353" t="str">
        <f t="shared" si="0"/>
        <v> </v>
      </c>
      <c r="F15" s="331" t="str">
        <f t="shared" si="1"/>
        <v> </v>
      </c>
      <c r="G15" s="351">
        <f>'t13'!T15</f>
        <v>0</v>
      </c>
      <c r="H15" s="353" t="str">
        <f t="shared" si="2"/>
        <v> </v>
      </c>
      <c r="I15" s="331" t="str">
        <f t="shared" si="3"/>
        <v> </v>
      </c>
      <c r="J15" s="372" t="str">
        <f t="shared" si="4"/>
        <v>OK</v>
      </c>
    </row>
    <row r="16" spans="1:10" ht="12.75">
      <c r="A16" s="137" t="str">
        <f>'t1'!A16</f>
        <v>PROFESSORI DI SECONDA FASCIA TEMPO DET.ANNUALE</v>
      </c>
      <c r="B16" s="326" t="str">
        <f>'t1'!B16</f>
        <v>016PD2</v>
      </c>
      <c r="C16" s="351">
        <f>'t13'!V16</f>
        <v>1100</v>
      </c>
      <c r="D16" s="351">
        <f>'t13'!S16</f>
        <v>0</v>
      </c>
      <c r="E16" s="353" t="str">
        <f t="shared" si="0"/>
        <v> </v>
      </c>
      <c r="F16" s="331" t="str">
        <f t="shared" si="1"/>
        <v> </v>
      </c>
      <c r="G16" s="351">
        <f>'t13'!T16</f>
        <v>0</v>
      </c>
      <c r="H16" s="353" t="str">
        <f t="shared" si="2"/>
        <v> </v>
      </c>
      <c r="I16" s="331" t="str">
        <f t="shared" si="3"/>
        <v> </v>
      </c>
      <c r="J16" s="372" t="str">
        <f t="shared" si="4"/>
        <v>OK</v>
      </c>
    </row>
    <row r="17" spans="1:10" ht="12.75">
      <c r="A17" s="137" t="str">
        <f>'t1'!A17</f>
        <v>PROFESSORI DI PRIMA FASCIA T. DET. TERMINE ATTIV DIDATT</v>
      </c>
      <c r="B17" s="326" t="str">
        <f>'t1'!B17</f>
        <v>018DD1</v>
      </c>
      <c r="C17" s="351">
        <f>'t13'!V17</f>
        <v>0</v>
      </c>
      <c r="D17" s="351">
        <f>'t13'!S17</f>
        <v>0</v>
      </c>
      <c r="E17" s="353" t="str">
        <f t="shared" si="0"/>
        <v> </v>
      </c>
      <c r="F17" s="331" t="str">
        <f t="shared" si="1"/>
        <v> </v>
      </c>
      <c r="G17" s="351">
        <f>'t13'!T17</f>
        <v>0</v>
      </c>
      <c r="H17" s="353" t="str">
        <f t="shared" si="2"/>
        <v> </v>
      </c>
      <c r="I17" s="331" t="str">
        <f t="shared" si="3"/>
        <v> </v>
      </c>
      <c r="J17" s="372" t="str">
        <f t="shared" si="4"/>
        <v>OK</v>
      </c>
    </row>
    <row r="18" spans="1:10" ht="12.75">
      <c r="A18" s="137" t="str">
        <f>'t1'!A18</f>
        <v>PROFESSORI DI SECONDA FASCIA T. DET. TERMINE ATTIV DIDATT</v>
      </c>
      <c r="B18" s="326" t="str">
        <f>'t1'!B18</f>
        <v>016DD2</v>
      </c>
      <c r="C18" s="351">
        <f>'t13'!V18</f>
        <v>0</v>
      </c>
      <c r="D18" s="351">
        <f>'t13'!S18</f>
        <v>0</v>
      </c>
      <c r="E18" s="353" t="str">
        <f t="shared" si="0"/>
        <v> </v>
      </c>
      <c r="F18" s="331" t="str">
        <f t="shared" si="1"/>
        <v> </v>
      </c>
      <c r="G18" s="351">
        <f>'t13'!T18</f>
        <v>0</v>
      </c>
      <c r="H18" s="353" t="str">
        <f t="shared" si="2"/>
        <v> </v>
      </c>
      <c r="I18" s="331" t="str">
        <f t="shared" si="3"/>
        <v> </v>
      </c>
      <c r="J18" s="372" t="str">
        <f t="shared" si="4"/>
        <v>OK</v>
      </c>
    </row>
    <row r="19" spans="1:10" ht="12.75">
      <c r="A19" s="137" t="str">
        <f>'t1'!A19</f>
        <v>DIRETTORE AMMINISTRATIVO TEMPO DET.ANNUALE (EP2)</v>
      </c>
      <c r="B19" s="326" t="str">
        <f>'t1'!B19</f>
        <v>013EP2</v>
      </c>
      <c r="C19" s="351">
        <f>'t13'!V19</f>
        <v>0</v>
      </c>
      <c r="D19" s="351">
        <f>'t13'!S19</f>
        <v>0</v>
      </c>
      <c r="E19" s="353" t="str">
        <f t="shared" si="0"/>
        <v> </v>
      </c>
      <c r="F19" s="331" t="str">
        <f t="shared" si="1"/>
        <v> </v>
      </c>
      <c r="G19" s="351">
        <f>'t13'!T19</f>
        <v>0</v>
      </c>
      <c r="H19" s="353" t="str">
        <f t="shared" si="2"/>
        <v> </v>
      </c>
      <c r="I19" s="331" t="str">
        <f t="shared" si="3"/>
        <v> </v>
      </c>
      <c r="J19" s="372" t="str">
        <f t="shared" si="4"/>
        <v>OK</v>
      </c>
    </row>
    <row r="20" spans="1:10" ht="12.75">
      <c r="A20" s="137" t="str">
        <f>'t1'!A20</f>
        <v>DIRETTORE DELL UFFICIO DI RAGIONERIA TEMPO DET.ANNUALE (EP1)</v>
      </c>
      <c r="B20" s="326" t="str">
        <f>'t1'!B20</f>
        <v>013160</v>
      </c>
      <c r="C20" s="351">
        <f>'t13'!V20</f>
        <v>0</v>
      </c>
      <c r="D20" s="351">
        <f>'t13'!S20</f>
        <v>0</v>
      </c>
      <c r="E20" s="353" t="str">
        <f t="shared" si="0"/>
        <v> </v>
      </c>
      <c r="F20" s="331" t="str">
        <f t="shared" si="1"/>
        <v> </v>
      </c>
      <c r="G20" s="351">
        <f>'t13'!T20</f>
        <v>0</v>
      </c>
      <c r="H20" s="353" t="str">
        <f t="shared" si="2"/>
        <v> </v>
      </c>
      <c r="I20" s="331" t="str">
        <f t="shared" si="3"/>
        <v> </v>
      </c>
      <c r="J20" s="372" t="str">
        <f t="shared" si="4"/>
        <v>OK</v>
      </c>
    </row>
    <row r="21" spans="1:10" ht="12.75">
      <c r="A21" s="137" t="str">
        <f>'t1'!A21</f>
        <v>DIRETTORE AMMINISTRATIVO T. DET. TERMINE ATTIV DIDATT(EP2)</v>
      </c>
      <c r="B21" s="326" t="str">
        <f>'t1'!B21</f>
        <v>013E2N</v>
      </c>
      <c r="C21" s="351">
        <f>'t13'!V21</f>
        <v>0</v>
      </c>
      <c r="D21" s="351">
        <f>'t13'!S21</f>
        <v>0</v>
      </c>
      <c r="E21" s="353" t="str">
        <f t="shared" si="0"/>
        <v> </v>
      </c>
      <c r="F21" s="331" t="str">
        <f t="shared" si="1"/>
        <v> </v>
      </c>
      <c r="G21" s="351">
        <f>'t13'!T21</f>
        <v>0</v>
      </c>
      <c r="H21" s="353" t="str">
        <f t="shared" si="2"/>
        <v> </v>
      </c>
      <c r="I21" s="331" t="str">
        <f t="shared" si="3"/>
        <v> </v>
      </c>
      <c r="J21" s="372" t="str">
        <f t="shared" si="4"/>
        <v>OK</v>
      </c>
    </row>
    <row r="22" spans="1:10" ht="12.75">
      <c r="A22" s="137" t="str">
        <f>'t1'!A22</f>
        <v>DIRETTORE UFF. RAGIONERIA T. DET. TERM. ATTIV DIDATT(EP1)</v>
      </c>
      <c r="B22" s="326" t="str">
        <f>'t1'!B22</f>
        <v>013E1N</v>
      </c>
      <c r="C22" s="351">
        <f>'t13'!V22</f>
        <v>0</v>
      </c>
      <c r="D22" s="351">
        <f>'t13'!S22</f>
        <v>0</v>
      </c>
      <c r="E22" s="353" t="str">
        <f t="shared" si="0"/>
        <v> </v>
      </c>
      <c r="F22" s="331" t="str">
        <f t="shared" si="1"/>
        <v> </v>
      </c>
      <c r="G22" s="351">
        <f>'t13'!T22</f>
        <v>0</v>
      </c>
      <c r="H22" s="353" t="str">
        <f t="shared" si="2"/>
        <v> </v>
      </c>
      <c r="I22" s="331" t="str">
        <f t="shared" si="3"/>
        <v> </v>
      </c>
      <c r="J22" s="372" t="str">
        <f t="shared" si="4"/>
        <v>OK</v>
      </c>
    </row>
    <row r="23" spans="1:10" ht="12.75">
      <c r="A23" s="137" t="str">
        <f>'t1'!A23</f>
        <v>COORD. DI BIBLIOT., COORD. TEC. E AMM. TEMPO DET.ANNUALE</v>
      </c>
      <c r="B23" s="326" t="str">
        <f>'t1'!B23</f>
        <v>013DDE</v>
      </c>
      <c r="C23" s="351">
        <f>'t13'!V23</f>
        <v>0</v>
      </c>
      <c r="D23" s="351">
        <f>'t13'!S23</f>
        <v>0</v>
      </c>
      <c r="E23" s="353" t="str">
        <f t="shared" si="0"/>
        <v> </v>
      </c>
      <c r="F23" s="331" t="str">
        <f t="shared" si="1"/>
        <v> </v>
      </c>
      <c r="G23" s="351">
        <f>'t13'!T23</f>
        <v>0</v>
      </c>
      <c r="H23" s="353" t="str">
        <f t="shared" si="2"/>
        <v> </v>
      </c>
      <c r="I23" s="331" t="str">
        <f t="shared" si="3"/>
        <v> </v>
      </c>
      <c r="J23" s="372" t="str">
        <f t="shared" si="4"/>
        <v>OK</v>
      </c>
    </row>
    <row r="24" spans="1:10" ht="12.75">
      <c r="A24" s="137" t="str">
        <f>'t1'!A24</f>
        <v>COLLAB. TEC. AMMIN. DI BIBLIOT. E DI LAB. TEMPO DET.ANNUALE</v>
      </c>
      <c r="B24" s="326" t="str">
        <f>'t1'!B24</f>
        <v>013CDE</v>
      </c>
      <c r="C24" s="351">
        <f>'t13'!V24</f>
        <v>0</v>
      </c>
      <c r="D24" s="351">
        <f>'t13'!S24</f>
        <v>0</v>
      </c>
      <c r="E24" s="353" t="str">
        <f t="shared" si="0"/>
        <v> </v>
      </c>
      <c r="F24" s="331" t="str">
        <f t="shared" si="1"/>
        <v> </v>
      </c>
      <c r="G24" s="351">
        <f>'t13'!T24</f>
        <v>0</v>
      </c>
      <c r="H24" s="353" t="str">
        <f t="shared" si="2"/>
        <v> </v>
      </c>
      <c r="I24" s="331" t="str">
        <f t="shared" si="3"/>
        <v> </v>
      </c>
      <c r="J24" s="372" t="str">
        <f t="shared" si="4"/>
        <v>OK</v>
      </c>
    </row>
    <row r="25" spans="1:10" ht="12.75">
      <c r="A25" s="137" t="str">
        <f>'t1'!A25</f>
        <v>ASSIST. AMMINISTRATIVO TEMPO DET.ANNUALE</v>
      </c>
      <c r="B25" s="326" t="str">
        <f>'t1'!B25</f>
        <v>012118</v>
      </c>
      <c r="C25" s="351">
        <f>'t13'!V25</f>
        <v>85</v>
      </c>
      <c r="D25" s="351">
        <f>'t13'!S25</f>
        <v>0</v>
      </c>
      <c r="E25" s="353" t="str">
        <f t="shared" si="0"/>
        <v> </v>
      </c>
      <c r="F25" s="331" t="str">
        <f t="shared" si="1"/>
        <v> </v>
      </c>
      <c r="G25" s="351">
        <f>'t13'!T25</f>
        <v>0</v>
      </c>
      <c r="H25" s="353" t="str">
        <f t="shared" si="2"/>
        <v> </v>
      </c>
      <c r="I25" s="331" t="str">
        <f t="shared" si="3"/>
        <v> </v>
      </c>
      <c r="J25" s="372" t="str">
        <f t="shared" si="4"/>
        <v>OK</v>
      </c>
    </row>
    <row r="26" spans="1:10" ht="12.75">
      <c r="A26" s="137" t="str">
        <f>'t1'!A26</f>
        <v>COADIUTORE TEMPO DET.ANNUALE</v>
      </c>
      <c r="B26" s="326" t="str">
        <f>'t1'!B26</f>
        <v>011124</v>
      </c>
      <c r="C26" s="351">
        <f>'t13'!V26</f>
        <v>0</v>
      </c>
      <c r="D26" s="351">
        <f>'t13'!S26</f>
        <v>0</v>
      </c>
      <c r="E26" s="353" t="str">
        <f t="shared" si="0"/>
        <v> </v>
      </c>
      <c r="F26" s="331" t="str">
        <f t="shared" si="1"/>
        <v> </v>
      </c>
      <c r="G26" s="351">
        <f>'t13'!T26</f>
        <v>0</v>
      </c>
      <c r="H26" s="353" t="str">
        <f t="shared" si="2"/>
        <v> </v>
      </c>
      <c r="I26" s="331" t="str">
        <f t="shared" si="3"/>
        <v> </v>
      </c>
      <c r="J26" s="372" t="str">
        <f t="shared" si="4"/>
        <v>OK</v>
      </c>
    </row>
    <row r="27" spans="1:10" ht="12.75">
      <c r="A27" s="137" t="str">
        <f>'t1'!A27</f>
        <v>COORD. BIBL., COORD. TEC. E AMM. T. DET. TERM. ATTIV DIDATT</v>
      </c>
      <c r="B27" s="326" t="str">
        <f>'t1'!B27</f>
        <v>013DDN</v>
      </c>
      <c r="C27" s="351">
        <f>'t13'!V27</f>
        <v>0</v>
      </c>
      <c r="D27" s="351">
        <f>'t13'!S27</f>
        <v>0</v>
      </c>
      <c r="E27" s="353" t="str">
        <f t="shared" si="0"/>
        <v> </v>
      </c>
      <c r="F27" s="331" t="str">
        <f t="shared" si="1"/>
        <v> </v>
      </c>
      <c r="G27" s="351">
        <f>'t13'!T27</f>
        <v>0</v>
      </c>
      <c r="H27" s="353" t="str">
        <f t="shared" si="2"/>
        <v> </v>
      </c>
      <c r="I27" s="331" t="str">
        <f t="shared" si="3"/>
        <v> </v>
      </c>
      <c r="J27" s="372" t="str">
        <f t="shared" si="4"/>
        <v>OK</v>
      </c>
    </row>
    <row r="28" spans="1:10" ht="12.75">
      <c r="A28" s="137" t="str">
        <f>'t1'!A28</f>
        <v>COLLAB. TEC. AMM. BIBL. E DI LAB. T. D. TERM. ATTIV DIDATT</v>
      </c>
      <c r="B28" s="326" t="str">
        <f>'t1'!B28</f>
        <v>013CDN</v>
      </c>
      <c r="C28" s="351">
        <f>'t13'!V28</f>
        <v>0</v>
      </c>
      <c r="D28" s="351">
        <f>'t13'!S28</f>
        <v>0</v>
      </c>
      <c r="E28" s="353" t="str">
        <f t="shared" si="0"/>
        <v> </v>
      </c>
      <c r="F28" s="331" t="str">
        <f t="shared" si="1"/>
        <v> </v>
      </c>
      <c r="G28" s="351">
        <f>'t13'!T28</f>
        <v>0</v>
      </c>
      <c r="H28" s="353" t="str">
        <f t="shared" si="2"/>
        <v> </v>
      </c>
      <c r="I28" s="331" t="str">
        <f t="shared" si="3"/>
        <v> </v>
      </c>
      <c r="J28" s="372" t="str">
        <f t="shared" si="4"/>
        <v>OK</v>
      </c>
    </row>
    <row r="29" spans="1:10" ht="12.75">
      <c r="A29" s="137" t="str">
        <f>'t1'!A29</f>
        <v>ASSISTENTE AMMINISTRATIVO TEM.DET. TERMINE ATTIV DIDATT</v>
      </c>
      <c r="B29" s="326" t="str">
        <f>'t1'!B29</f>
        <v>016509</v>
      </c>
      <c r="C29" s="351">
        <f>'t13'!V29</f>
        <v>0</v>
      </c>
      <c r="D29" s="351">
        <f>'t13'!S29</f>
        <v>0</v>
      </c>
      <c r="E29" s="353" t="str">
        <f t="shared" si="0"/>
        <v> </v>
      </c>
      <c r="F29" s="331" t="str">
        <f t="shared" si="1"/>
        <v> </v>
      </c>
      <c r="G29" s="351">
        <f>'t13'!T29</f>
        <v>0</v>
      </c>
      <c r="H29" s="353" t="str">
        <f t="shared" si="2"/>
        <v> </v>
      </c>
      <c r="I29" s="331" t="str">
        <f t="shared" si="3"/>
        <v> </v>
      </c>
      <c r="J29" s="372" t="str">
        <f t="shared" si="4"/>
        <v>OK</v>
      </c>
    </row>
    <row r="30" spans="1:10" ht="12.75">
      <c r="A30" s="137" t="str">
        <f>'t1'!A30</f>
        <v>COADIUTORE TEMPO DET. TERMINE ATTIV DIDATT</v>
      </c>
      <c r="B30" s="326" t="str">
        <f>'t1'!B30</f>
        <v>011CNA</v>
      </c>
      <c r="C30" s="351">
        <f>'t13'!V30</f>
        <v>0</v>
      </c>
      <c r="D30" s="351">
        <f>'t13'!S30</f>
        <v>0</v>
      </c>
      <c r="E30" s="353" t="str">
        <f t="shared" si="0"/>
        <v> </v>
      </c>
      <c r="F30" s="331" t="str">
        <f t="shared" si="1"/>
        <v> </v>
      </c>
      <c r="G30" s="351">
        <f>'t13'!T30</f>
        <v>0</v>
      </c>
      <c r="H30" s="353" t="str">
        <f t="shared" si="2"/>
        <v> </v>
      </c>
      <c r="I30" s="331" t="str">
        <f t="shared" si="3"/>
        <v> </v>
      </c>
      <c r="J30" s="372" t="str">
        <f t="shared" si="4"/>
        <v>OK</v>
      </c>
    </row>
  </sheetData>
  <sheetProtection password="EA98" sheet="1" formatColumns="0" selectLockedCells="1" selectUnlockedCells="1"/>
  <mergeCells count="2">
    <mergeCell ref="A1:J1"/>
    <mergeCell ref="D2:J2"/>
  </mergeCells>
  <printOptions horizontalCentered="1"/>
  <pageMargins left="0.2362204724409449" right="0.2362204724409449" top="0.1968503937007874" bottom="0.15748031496062992" header="0.15748031496062992" footer="0.15748031496062992"/>
  <pageSetup horizontalDpi="600" verticalDpi="600" orientation="landscape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0" sqref="A10"/>
    </sheetView>
  </sheetViews>
  <sheetFormatPr defaultColWidth="9.33203125" defaultRowHeight="10.5"/>
  <cols>
    <col min="1" max="1" width="37.66015625" style="5" customWidth="1"/>
    <col min="2" max="2" width="8.5" style="7" hidden="1" customWidth="1"/>
    <col min="3" max="5" width="12.66015625" style="5" customWidth="1"/>
    <col min="6" max="6" width="1.66796875" style="3" customWidth="1"/>
    <col min="7" max="9" width="12.66015625" style="604" customWidth="1"/>
    <col min="10" max="10" width="1.66796875" style="0" customWidth="1"/>
    <col min="11" max="12" width="14.66015625" style="0" customWidth="1"/>
  </cols>
  <sheetData>
    <row r="1" spans="1:11" ht="32.25" customHeight="1">
      <c r="A1" s="1290" t="str">
        <f>'t1'!A1</f>
        <v>COMPARTO AFAM - anno 2016</v>
      </c>
      <c r="B1" s="1290"/>
      <c r="C1" s="1290"/>
      <c r="D1" s="1290"/>
      <c r="E1" s="1290"/>
      <c r="F1" s="1290"/>
      <c r="G1" s="1290"/>
      <c r="H1" s="1290"/>
      <c r="I1" s="1290"/>
      <c r="J1" s="1290"/>
      <c r="K1" s="1290"/>
    </row>
    <row r="2" spans="1:12" ht="42" customHeight="1" thickBot="1">
      <c r="A2" s="1291" t="s">
        <v>675</v>
      </c>
      <c r="B2" s="1291"/>
      <c r="C2" s="1291"/>
      <c r="D2" s="1291"/>
      <c r="E2" s="1291"/>
      <c r="F2" s="1291"/>
      <c r="G2" s="1291"/>
      <c r="H2" s="1291"/>
      <c r="I2" s="1291"/>
      <c r="J2" s="1291"/>
      <c r="K2" s="1291"/>
      <c r="L2" s="1291"/>
    </row>
    <row r="3" spans="1:12" ht="30" customHeight="1">
      <c r="A3" s="865" t="s">
        <v>111</v>
      </c>
      <c r="B3" s="866" t="s">
        <v>78</v>
      </c>
      <c r="C3" s="1292" t="s">
        <v>676</v>
      </c>
      <c r="D3" s="1293"/>
      <c r="E3" s="1294"/>
      <c r="F3" s="867"/>
      <c r="G3" s="1295" t="s">
        <v>677</v>
      </c>
      <c r="H3" s="1296"/>
      <c r="I3" s="1297"/>
      <c r="K3" s="1295" t="s">
        <v>678</v>
      </c>
      <c r="L3" s="1297"/>
    </row>
    <row r="4" spans="1:12" ht="12.75">
      <c r="A4" s="868"/>
      <c r="B4" s="869"/>
      <c r="C4" s="870" t="s">
        <v>80</v>
      </c>
      <c r="D4" s="871" t="s">
        <v>81</v>
      </c>
      <c r="E4" s="872" t="s">
        <v>679</v>
      </c>
      <c r="F4" s="873"/>
      <c r="G4" s="870" t="s">
        <v>80</v>
      </c>
      <c r="H4" s="871" t="s">
        <v>81</v>
      </c>
      <c r="I4" s="872" t="s">
        <v>679</v>
      </c>
      <c r="J4" s="201"/>
      <c r="K4" s="870" t="s">
        <v>80</v>
      </c>
      <c r="L4" s="872" t="s">
        <v>81</v>
      </c>
    </row>
    <row r="5" spans="1:12" ht="12.75">
      <c r="A5" s="874"/>
      <c r="B5" s="875"/>
      <c r="C5" s="876" t="s">
        <v>208</v>
      </c>
      <c r="D5" s="695" t="s">
        <v>209</v>
      </c>
      <c r="E5" s="877" t="s">
        <v>210</v>
      </c>
      <c r="F5" s="878"/>
      <c r="G5" s="879" t="s">
        <v>211</v>
      </c>
      <c r="H5" s="695" t="s">
        <v>212</v>
      </c>
      <c r="I5" s="877" t="s">
        <v>232</v>
      </c>
      <c r="J5" s="114"/>
      <c r="K5" s="879" t="s">
        <v>680</v>
      </c>
      <c r="L5" s="877" t="s">
        <v>681</v>
      </c>
    </row>
    <row r="6" spans="1:12" ht="12.75">
      <c r="A6" s="880" t="str">
        <f>'t2'!A6</f>
        <v>PROFESSORI</v>
      </c>
      <c r="B6" s="881" t="str">
        <f>'t2'!B6</f>
        <v>PR</v>
      </c>
      <c r="C6" s="882">
        <f>'t2'!C6</f>
        <v>0</v>
      </c>
      <c r="D6" s="883">
        <f>'t2'!D6</f>
        <v>0</v>
      </c>
      <c r="E6" s="884">
        <f>SUM(C6:D6)</f>
        <v>0</v>
      </c>
      <c r="F6" s="878"/>
      <c r="G6" s="885">
        <f>'t2A'!D12+'t2A'!F12+'t2A'!H12+'t2A'!J12+'t2A'!L12+'t2A'!N12+'t2A'!P12+'t2A'!R12</f>
        <v>0</v>
      </c>
      <c r="H6" s="886">
        <f>'t2A'!E12+'t2A'!G12+'t2A'!I12+'t2A'!K12+'t2A'!M12+'t2A'!O12+'t2A'!Q12+'t2A'!S12</f>
        <v>0</v>
      </c>
      <c r="I6" s="887">
        <f>SUM(G6:H6)</f>
        <v>0</v>
      </c>
      <c r="K6" s="888" t="str">
        <f aca="true" t="shared" si="0" ref="K6:L8">IF(C6&gt;0,IF(G6&gt;0,"OK","Manca T2A"),IF(C6=0,IF(G6=0,"OK","Manca T2"),"orrore"))</f>
        <v>OK</v>
      </c>
      <c r="L6" s="889" t="str">
        <f t="shared" si="0"/>
        <v>OK</v>
      </c>
    </row>
    <row r="7" spans="1:12" ht="12.75">
      <c r="A7" s="880" t="str">
        <f>'t2'!A7</f>
        <v>PERSONALE ELEVATE PROFESSIONALITA</v>
      </c>
      <c r="B7" s="881" t="str">
        <f>'t2'!B7</f>
        <v>EP</v>
      </c>
      <c r="C7" s="882">
        <f>'t2'!C7</f>
        <v>0</v>
      </c>
      <c r="D7" s="883">
        <f>'t2'!D7</f>
        <v>0</v>
      </c>
      <c r="E7" s="884">
        <f>SUM(C7:D7)</f>
        <v>0</v>
      </c>
      <c r="F7" s="878"/>
      <c r="G7" s="885">
        <f>'t2A'!D13+'t2A'!F13+'t2A'!H13+'t2A'!J13+'t2A'!L13+'t2A'!N13+'t2A'!P13+'t2A'!R13</f>
        <v>0</v>
      </c>
      <c r="H7" s="886">
        <f>'t2A'!E13+'t2A'!G13+'t2A'!I13+'t2A'!K13+'t2A'!M13+'t2A'!O13+'t2A'!Q13+'t2A'!S13</f>
        <v>0</v>
      </c>
      <c r="I7" s="887">
        <f>SUM(G7:H7)</f>
        <v>0</v>
      </c>
      <c r="K7" s="888" t="str">
        <f t="shared" si="0"/>
        <v>OK</v>
      </c>
      <c r="L7" s="889" t="str">
        <f t="shared" si="0"/>
        <v>OK</v>
      </c>
    </row>
    <row r="8" spans="1:12" ht="13.5" thickBot="1">
      <c r="A8" s="880" t="str">
        <f>'t2'!A8</f>
        <v>PERSONALE DELLE AREE</v>
      </c>
      <c r="B8" s="881" t="str">
        <f>'t2'!B8</f>
        <v>PA</v>
      </c>
      <c r="C8" s="896">
        <f>'t2'!C8</f>
        <v>8</v>
      </c>
      <c r="D8" s="897">
        <f>'t2'!D8</f>
        <v>6</v>
      </c>
      <c r="E8" s="898">
        <f>SUM(C8:D8)</f>
        <v>14</v>
      </c>
      <c r="F8" s="878"/>
      <c r="G8" s="885">
        <f>'t2A'!D14+'t2A'!F14+'t2A'!H14+'t2A'!J10+'t2A'!L14+'t2A'!N14+'t2A'!P14+'t2A'!R14</f>
        <v>8</v>
      </c>
      <c r="H8" s="886">
        <f>'t2A'!E14+'t2A'!G14+'t2A'!I10+'t2A'!K10+'t2A'!M14+'t2A'!O14+'t2A'!Q14+'t2A'!S14</f>
        <v>6</v>
      </c>
      <c r="I8" s="887">
        <f>SUM(G8:H8)</f>
        <v>14</v>
      </c>
      <c r="K8" s="888" t="str">
        <f t="shared" si="0"/>
        <v>OK</v>
      </c>
      <c r="L8" s="889" t="str">
        <f t="shared" si="0"/>
        <v>OK</v>
      </c>
    </row>
    <row r="9" spans="1:12" ht="13.5" thickBot="1">
      <c r="A9" s="890" t="s">
        <v>82</v>
      </c>
      <c r="B9" s="891"/>
      <c r="C9" s="899">
        <f>SUM(C6:C8)</f>
        <v>8</v>
      </c>
      <c r="D9" s="900">
        <f>SUM(D6:D8)</f>
        <v>6</v>
      </c>
      <c r="E9" s="900">
        <f>SUM(C9:D9)</f>
        <v>14</v>
      </c>
      <c r="G9" s="892">
        <f>SUM(G6:G8)</f>
        <v>8</v>
      </c>
      <c r="H9" s="892">
        <f>SUM(H6:H8)</f>
        <v>6</v>
      </c>
      <c r="I9" s="893">
        <f>SUM(G9:H9)</f>
        <v>14</v>
      </c>
      <c r="K9" s="894" t="str">
        <f>IF(COUNTIF(K6:K8,"OK")=3,"OK","Errore")</f>
        <v>OK</v>
      </c>
      <c r="L9" s="895" t="str">
        <f>IF(COUNTIF(L6:L8,"OK")=3,"OK","Errore")</f>
        <v>OK</v>
      </c>
    </row>
    <row r="10" spans="1:2" ht="11.25">
      <c r="A10" s="8"/>
      <c r="B10" s="9"/>
    </row>
  </sheetData>
  <sheetProtection password="EA98" sheet="1" formatColumns="0" selectLockedCells="1" selectUnlockedCells="1"/>
  <mergeCells count="5">
    <mergeCell ref="A1:K1"/>
    <mergeCell ref="A2:L2"/>
    <mergeCell ref="C3:E3"/>
    <mergeCell ref="G3:I3"/>
    <mergeCell ref="K3:L3"/>
  </mergeCells>
  <dataValidations count="1">
    <dataValidation type="whole" allowBlank="1" showInputMessage="1" showErrorMessage="1" errorTitle="ERRORE" error="INSERIRE SOLO NUMERI INTERI COMPRESI TRA 0 E 9999999" sqref="G6:H9">
      <formula1>0</formula1>
      <formula2>9999999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44">
    <pageSetUpPr fitToPage="1"/>
  </sheetPr>
  <dimension ref="A1:K30"/>
  <sheetViews>
    <sheetView showGridLines="0" tabSelected="1" zoomScalePageLayoutView="0" workbookViewId="0" topLeftCell="A1">
      <pane xSplit="2" ySplit="5" topLeftCell="C1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0.5"/>
  <cols>
    <col min="1" max="1" width="41.5" style="5" customWidth="1"/>
    <col min="2" max="2" width="10" style="7" customWidth="1"/>
    <col min="3" max="3" width="11.83203125" style="7" customWidth="1"/>
    <col min="4" max="5" width="14" style="7" customWidth="1"/>
    <col min="6" max="6" width="11.83203125" style="7" customWidth="1"/>
    <col min="7" max="7" width="13.83203125" style="7" customWidth="1"/>
    <col min="8" max="8" width="16.83203125" style="7" hidden="1" customWidth="1"/>
    <col min="9" max="9" width="63.33203125" style="0" customWidth="1"/>
  </cols>
  <sheetData>
    <row r="1" spans="1:11" s="5" customFormat="1" ht="43.5" customHeight="1">
      <c r="A1" s="1155" t="str">
        <f>'t1'!A1</f>
        <v>COMPARTO AFAM - anno 2016</v>
      </c>
      <c r="B1" s="1155"/>
      <c r="C1" s="1155"/>
      <c r="D1" s="1155"/>
      <c r="E1" s="1155"/>
      <c r="F1" s="1155"/>
      <c r="G1" s="1155"/>
      <c r="H1" s="1155"/>
      <c r="I1" s="1155"/>
      <c r="K1"/>
    </row>
    <row r="2" spans="4:11" s="5" customFormat="1" ht="12.75" customHeight="1">
      <c r="D2" s="1237"/>
      <c r="E2" s="1237"/>
      <c r="F2" s="1237"/>
      <c r="G2" s="1237"/>
      <c r="H2" s="641"/>
      <c r="I2" s="3"/>
      <c r="K2"/>
    </row>
    <row r="3" spans="1:9" s="5" customFormat="1" ht="43.5" customHeight="1">
      <c r="A3" s="1298" t="s">
        <v>727</v>
      </c>
      <c r="B3" s="1298"/>
      <c r="C3" s="1298"/>
      <c r="D3" s="1298"/>
      <c r="E3" s="1298"/>
      <c r="F3" s="1298"/>
      <c r="G3" s="1298"/>
      <c r="H3" s="1298"/>
      <c r="I3" s="1298"/>
    </row>
    <row r="4" spans="1:9" ht="67.5">
      <c r="A4" s="642" t="s">
        <v>244</v>
      </c>
      <c r="B4" s="643" t="s">
        <v>206</v>
      </c>
      <c r="C4" s="645" t="s">
        <v>47</v>
      </c>
      <c r="D4" s="645" t="s">
        <v>728</v>
      </c>
      <c r="E4" s="645" t="s">
        <v>729</v>
      </c>
      <c r="F4" s="645" t="s">
        <v>49</v>
      </c>
      <c r="G4" s="645" t="s">
        <v>730</v>
      </c>
      <c r="H4" s="645" t="s">
        <v>458</v>
      </c>
      <c r="I4" s="645" t="s">
        <v>443</v>
      </c>
    </row>
    <row r="5" spans="1:9" s="201" customFormat="1" ht="45" hidden="1">
      <c r="A5" s="182"/>
      <c r="B5" s="195"/>
      <c r="C5" s="195" t="s">
        <v>208</v>
      </c>
      <c r="D5" s="199"/>
      <c r="E5" s="199"/>
      <c r="F5" s="199" t="s">
        <v>210</v>
      </c>
      <c r="G5" s="199"/>
      <c r="H5" s="695" t="s">
        <v>571</v>
      </c>
      <c r="I5" s="697"/>
    </row>
    <row r="6" spans="1:9" s="114" customFormat="1" ht="12.75">
      <c r="A6" s="137" t="str">
        <f>'t1'!A6</f>
        <v>DIRIGENTE SCOLASTICO</v>
      </c>
      <c r="B6" s="326" t="str">
        <f>'t1'!B6</f>
        <v>0D0158</v>
      </c>
      <c r="C6" s="1000">
        <f>'t11'!U8+'t11'!V8</f>
        <v>0</v>
      </c>
      <c r="D6" s="1000">
        <f>(C6-'t11'!Q8-'t11'!R8-'t11'!S8-'t11'!T8)</f>
        <v>0</v>
      </c>
      <c r="E6" s="1007">
        <f>'t12'!C6/12</f>
        <v>0</v>
      </c>
      <c r="F6" s="1000">
        <f>'t3'!M6+'t3'!N6+'t3'!O6+'t3'!P6+'t3'!Q6+'t3'!R6</f>
        <v>0</v>
      </c>
      <c r="G6" s="372" t="str">
        <f aca="true" t="shared" si="0" ref="G6:G30">IF(H6="OK","OK","ERRORE")</f>
        <v>OK</v>
      </c>
      <c r="H6" s="372" t="str">
        <f aca="true" t="shared" si="1" ref="H6:H30">IF(((E6+F6)*273)&lt;(D6),"KO","OK")</f>
        <v>OK</v>
      </c>
      <c r="I6" s="698">
        <f>IF(H6="KO",($H$5&amp;(('t12'!C6/12*273)+(('t3'!M6+'t3'!N6+'t3'!O6+'t3'!P6+'t3'!Q6+'t3'!R6)*273))&amp;")"),"")</f>
      </c>
    </row>
    <row r="7" spans="1:9" ht="12.75">
      <c r="A7" s="137" t="str">
        <f>'t1'!A7</f>
        <v>PROFESSORI DI PRIMA FASCIA</v>
      </c>
      <c r="B7" s="326" t="str">
        <f>'t1'!B7</f>
        <v>018P01</v>
      </c>
      <c r="C7" s="1000">
        <f>'t11'!U9+'t11'!V9</f>
        <v>357</v>
      </c>
      <c r="D7" s="1000">
        <f>(C7-'t11'!Q9-'t11'!R9-'t11'!S9-'t11'!T9)</f>
        <v>357</v>
      </c>
      <c r="E7" s="1007">
        <f>'t12'!C7/12</f>
        <v>0</v>
      </c>
      <c r="F7" s="1000">
        <f>'t3'!M7+'t3'!N7+'t3'!O7+'t3'!P7+'t3'!Q7+'t3'!R7</f>
        <v>0</v>
      </c>
      <c r="G7" s="372" t="str">
        <f t="shared" si="0"/>
        <v>ERRORE</v>
      </c>
      <c r="H7" s="372" t="str">
        <f t="shared" si="1"/>
        <v>KO</v>
      </c>
      <c r="I7" s="698" t="str">
        <f>IF(H7="KO",($H$5&amp;(('t12'!C7/12*273)+(('t3'!M7+'t3'!N7+'t3'!O7+'t3'!P7+'t3'!Q7+'t3'!R7)*273))&amp;")"),"")</f>
        <v>T12 non compilata o assenze comunicate &gt; gg lavorabili (0)</v>
      </c>
    </row>
    <row r="8" spans="1:9" ht="12.75">
      <c r="A8" s="137" t="str">
        <f>'t1'!A8</f>
        <v>PROFESSORI DI SECONDA FASCIA</v>
      </c>
      <c r="B8" s="326" t="str">
        <f>'t1'!B8</f>
        <v>016P02</v>
      </c>
      <c r="C8" s="1000">
        <f>'t11'!U10+'t11'!V10</f>
        <v>351</v>
      </c>
      <c r="D8" s="1000">
        <f>(C8-'t11'!Q10-'t11'!R10-'t11'!S10-'t11'!T10)</f>
        <v>351</v>
      </c>
      <c r="E8" s="1007">
        <f>'t12'!C8/12</f>
        <v>0</v>
      </c>
      <c r="F8" s="1000">
        <f>'t3'!M8+'t3'!N8+'t3'!O8+'t3'!P8+'t3'!Q8+'t3'!R8</f>
        <v>0</v>
      </c>
      <c r="G8" s="372" t="str">
        <f t="shared" si="0"/>
        <v>ERRORE</v>
      </c>
      <c r="H8" s="372" t="str">
        <f t="shared" si="1"/>
        <v>KO</v>
      </c>
      <c r="I8" s="698" t="str">
        <f>IF(H8="KO",($H$5&amp;(('t12'!C8/12*273)+(('t3'!M8+'t3'!N8+'t3'!O8+'t3'!P8+'t3'!Q8+'t3'!R8)*273))&amp;")"),"")</f>
        <v>T12 non compilata o assenze comunicate &gt; gg lavorabili (0)</v>
      </c>
    </row>
    <row r="9" spans="1:9" ht="12.75">
      <c r="A9" s="137" t="str">
        <f>'t1'!A9</f>
        <v>DIRETTORE AMMINISTRATIVO EP2</v>
      </c>
      <c r="B9" s="326" t="str">
        <f>'t1'!B9</f>
        <v>013504</v>
      </c>
      <c r="C9" s="1000">
        <f>'t11'!U11+'t11'!V11</f>
        <v>79</v>
      </c>
      <c r="D9" s="1000">
        <f>(C9-'t11'!Q11-'t11'!R11-'t11'!S11-'t11'!T11)</f>
        <v>78</v>
      </c>
      <c r="E9" s="1007">
        <f>'t12'!C9/12</f>
        <v>0</v>
      </c>
      <c r="F9" s="1000">
        <f>'t3'!M9+'t3'!N9+'t3'!O9+'t3'!P9+'t3'!Q9+'t3'!R9</f>
        <v>0</v>
      </c>
      <c r="G9" s="372" t="str">
        <f t="shared" si="0"/>
        <v>ERRORE</v>
      </c>
      <c r="H9" s="372" t="str">
        <f t="shared" si="1"/>
        <v>KO</v>
      </c>
      <c r="I9" s="698" t="str">
        <f>IF(H9="KO",($H$5&amp;(('t12'!C9/12*273)+(('t3'!M9+'t3'!N9+'t3'!O9+'t3'!P9+'t3'!Q9+'t3'!R9)*273))&amp;")"),"")</f>
        <v>T12 non compilata o assenze comunicate &gt; gg lavorabili (0)</v>
      </c>
    </row>
    <row r="10" spans="1:9" ht="12.75">
      <c r="A10" s="137" t="str">
        <f>'t1'!A10</f>
        <v>DIRETTORE DELL UFFICIO DI RAGIONERIA (EP1)</v>
      </c>
      <c r="B10" s="326" t="str">
        <f>'t1'!B10</f>
        <v>013159</v>
      </c>
      <c r="C10" s="1000">
        <f>'t11'!U12+'t11'!V12</f>
        <v>85</v>
      </c>
      <c r="D10" s="1000">
        <f>(C10-'t11'!Q12-'t11'!R12-'t11'!S12-'t11'!T12)</f>
        <v>84</v>
      </c>
      <c r="E10" s="1007">
        <f>'t12'!C10/12</f>
        <v>0</v>
      </c>
      <c r="F10" s="1000">
        <f>'t3'!M10+'t3'!N10+'t3'!O10+'t3'!P10+'t3'!Q10+'t3'!R10</f>
        <v>0</v>
      </c>
      <c r="G10" s="372" t="str">
        <f t="shared" si="0"/>
        <v>ERRORE</v>
      </c>
      <c r="H10" s="372" t="str">
        <f t="shared" si="1"/>
        <v>KO</v>
      </c>
      <c r="I10" s="698" t="str">
        <f>IF(H10="KO",($H$5&amp;(('t12'!C10/12*273)+(('t3'!M10+'t3'!N10+'t3'!O10+'t3'!P10+'t3'!Q10+'t3'!R10)*273))&amp;")"),"")</f>
        <v>T12 non compilata o assenze comunicate &gt; gg lavorabili (0)</v>
      </c>
    </row>
    <row r="11" spans="1:9" ht="12.75">
      <c r="A11" s="137" t="str">
        <f>'t1'!A11</f>
        <v>COORDINATORE DI BIBLIOTECA TECNICO E AMMINISTRATIVO(D)</v>
      </c>
      <c r="B11" s="326" t="str">
        <f>'t1'!B11</f>
        <v>013DTE</v>
      </c>
      <c r="C11" s="1000">
        <f>'t11'!U13+'t11'!V13</f>
        <v>0</v>
      </c>
      <c r="D11" s="1000">
        <f>(C11-'t11'!Q13-'t11'!R13-'t11'!S13-'t11'!T13)</f>
        <v>0</v>
      </c>
      <c r="E11" s="1007">
        <f>'t12'!C11/12</f>
        <v>0</v>
      </c>
      <c r="F11" s="1000">
        <f>'t3'!M11+'t3'!N11+'t3'!O11+'t3'!P11+'t3'!Q11+'t3'!R11</f>
        <v>0</v>
      </c>
      <c r="G11" s="372" t="str">
        <f t="shared" si="0"/>
        <v>OK</v>
      </c>
      <c r="H11" s="372" t="str">
        <f t="shared" si="1"/>
        <v>OK</v>
      </c>
      <c r="I11" s="698">
        <f>IF(H11="KO",($H$5&amp;(('t12'!C11/12*273)+(('t3'!M11+'t3'!N11+'t3'!O11+'t3'!P11+'t3'!Q11+'t3'!R11)*273))&amp;")"),"")</f>
      </c>
    </row>
    <row r="12" spans="1:9" ht="12.75">
      <c r="A12" s="137" t="str">
        <f>'t1'!A12</f>
        <v>COLLABORATORE TEC. AMMIN. DI BIBLIOT. E DI LAB. (C)</v>
      </c>
      <c r="B12" s="326" t="str">
        <f>'t1'!B12</f>
        <v>013CTE</v>
      </c>
      <c r="C12" s="1000">
        <f>'t11'!U14+'t11'!V14</f>
        <v>0</v>
      </c>
      <c r="D12" s="1000">
        <f>(C12-'t11'!Q14-'t11'!R14-'t11'!S14-'t11'!T14)</f>
        <v>0</v>
      </c>
      <c r="E12" s="1007">
        <f>'t12'!C12/12</f>
        <v>0</v>
      </c>
      <c r="F12" s="1000">
        <f>'t3'!M12+'t3'!N12+'t3'!O12+'t3'!P12+'t3'!Q12+'t3'!R12</f>
        <v>0</v>
      </c>
      <c r="G12" s="372" t="str">
        <f t="shared" si="0"/>
        <v>OK</v>
      </c>
      <c r="H12" s="372" t="str">
        <f t="shared" si="1"/>
        <v>OK</v>
      </c>
      <c r="I12" s="698">
        <f>IF(H12="KO",($H$5&amp;(('t12'!C12/12*273)+(('t3'!M12+'t3'!N12+'t3'!O12+'t3'!P12+'t3'!Q12+'t3'!R12)*273))&amp;")"),"")</f>
      </c>
    </row>
    <row r="13" spans="1:9" ht="12.75">
      <c r="A13" s="137" t="str">
        <f>'t1'!A13</f>
        <v>ASSISTENTE AMMINISTRATIVO (B)</v>
      </c>
      <c r="B13" s="326" t="str">
        <f>'t1'!B13</f>
        <v>012117</v>
      </c>
      <c r="C13" s="1000">
        <f>'t11'!U15+'t11'!V15</f>
        <v>185</v>
      </c>
      <c r="D13" s="1000">
        <f>(C13-'t11'!Q15-'t11'!R15-'t11'!S15-'t11'!T15)</f>
        <v>180</v>
      </c>
      <c r="E13" s="1007">
        <f>'t12'!C13/12</f>
        <v>0</v>
      </c>
      <c r="F13" s="1000">
        <f>'t3'!M13+'t3'!N13+'t3'!O13+'t3'!P13+'t3'!Q13+'t3'!R13</f>
        <v>0</v>
      </c>
      <c r="G13" s="372" t="str">
        <f t="shared" si="0"/>
        <v>ERRORE</v>
      </c>
      <c r="H13" s="372" t="str">
        <f t="shared" si="1"/>
        <v>KO</v>
      </c>
      <c r="I13" s="698" t="str">
        <f>IF(H13="KO",($H$5&amp;(('t12'!C13/12*273)+(('t3'!M13+'t3'!N13+'t3'!O13+'t3'!P13+'t3'!Q13+'t3'!R13)*273))&amp;")"),"")</f>
        <v>T12 non compilata o assenze comunicate &gt; gg lavorabili (0)</v>
      </c>
    </row>
    <row r="14" spans="1:9" ht="12.75">
      <c r="A14" s="137" t="str">
        <f>'t1'!A14</f>
        <v>COADIUTORE (A)</v>
      </c>
      <c r="B14" s="326" t="str">
        <f>'t1'!B14</f>
        <v>011121</v>
      </c>
      <c r="C14" s="1000">
        <f>'t11'!U16+'t11'!V16</f>
        <v>299</v>
      </c>
      <c r="D14" s="1000">
        <f>(C14-'t11'!Q16-'t11'!R16-'t11'!S16-'t11'!T16)</f>
        <v>299</v>
      </c>
      <c r="E14" s="1007">
        <f>'t12'!C14/12</f>
        <v>0</v>
      </c>
      <c r="F14" s="1000">
        <f>'t3'!M14+'t3'!N14+'t3'!O14+'t3'!P14+'t3'!Q14+'t3'!R14</f>
        <v>0</v>
      </c>
      <c r="G14" s="372" t="str">
        <f t="shared" si="0"/>
        <v>ERRORE</v>
      </c>
      <c r="H14" s="372" t="str">
        <f t="shared" si="1"/>
        <v>KO</v>
      </c>
      <c r="I14" s="698" t="str">
        <f>IF(H14="KO",($H$5&amp;(('t12'!C14/12*273)+(('t3'!M14+'t3'!N14+'t3'!O14+'t3'!P14+'t3'!Q14+'t3'!R14)*273))&amp;")"),"")</f>
        <v>T12 non compilata o assenze comunicate &gt; gg lavorabili (0)</v>
      </c>
    </row>
    <row r="15" spans="1:9" ht="12.75">
      <c r="A15" s="137" t="str">
        <f>'t1'!A15</f>
        <v>PROFESSORI DI PRIMA FASCIA TEMPO DET.ANNUALE</v>
      </c>
      <c r="B15" s="326" t="str">
        <f>'t1'!B15</f>
        <v>018PD1</v>
      </c>
      <c r="C15" s="1000">
        <f>'t11'!U17+'t11'!V17</f>
        <v>774</v>
      </c>
      <c r="D15" s="1000">
        <f>(C15-'t11'!Q17-'t11'!R17-'t11'!S17-'t11'!T17)</f>
        <v>765</v>
      </c>
      <c r="E15" s="1007">
        <f>'t12'!C15/12</f>
        <v>0</v>
      </c>
      <c r="F15" s="1000">
        <f>'t3'!M15+'t3'!N15+'t3'!O15+'t3'!P15+'t3'!Q15+'t3'!R15</f>
        <v>0</v>
      </c>
      <c r="G15" s="372" t="str">
        <f t="shared" si="0"/>
        <v>ERRORE</v>
      </c>
      <c r="H15" s="372" t="str">
        <f t="shared" si="1"/>
        <v>KO</v>
      </c>
      <c r="I15" s="698" t="str">
        <f>IF(H15="KO",($H$5&amp;(('t12'!C15/12*273)+(('t3'!M15+'t3'!N15+'t3'!O15+'t3'!P15+'t3'!Q15+'t3'!R15)*273))&amp;")"),"")</f>
        <v>T12 non compilata o assenze comunicate &gt; gg lavorabili (0)</v>
      </c>
    </row>
    <row r="16" spans="1:9" ht="12.75">
      <c r="A16" s="137" t="str">
        <f>'t1'!A16</f>
        <v>PROFESSORI DI SECONDA FASCIA TEMPO DET.ANNUALE</v>
      </c>
      <c r="B16" s="326" t="str">
        <f>'t1'!B16</f>
        <v>016PD2</v>
      </c>
      <c r="C16" s="1000">
        <f>'t11'!U18+'t11'!V18</f>
        <v>107</v>
      </c>
      <c r="D16" s="1000">
        <f>(C16-'t11'!Q18-'t11'!R18-'t11'!S18-'t11'!T18)</f>
        <v>105</v>
      </c>
      <c r="E16" s="1007">
        <f>'t12'!C16/12</f>
        <v>0</v>
      </c>
      <c r="F16" s="1000">
        <f>'t3'!M16+'t3'!N16+'t3'!O16+'t3'!P16+'t3'!Q16+'t3'!R16</f>
        <v>0</v>
      </c>
      <c r="G16" s="372" t="str">
        <f t="shared" si="0"/>
        <v>ERRORE</v>
      </c>
      <c r="H16" s="372" t="str">
        <f t="shared" si="1"/>
        <v>KO</v>
      </c>
      <c r="I16" s="698" t="str">
        <f>IF(H16="KO",($H$5&amp;(('t12'!C16/12*273)+(('t3'!M16+'t3'!N16+'t3'!O16+'t3'!P16+'t3'!Q16+'t3'!R16)*273))&amp;")"),"")</f>
        <v>T12 non compilata o assenze comunicate &gt; gg lavorabili (0)</v>
      </c>
    </row>
    <row r="17" spans="1:9" ht="12.75">
      <c r="A17" s="137" t="str">
        <f>'t1'!A17</f>
        <v>PROFESSORI DI PRIMA FASCIA T. DET. TERMINE ATTIV DIDATT</v>
      </c>
      <c r="B17" s="326" t="str">
        <f>'t1'!B17</f>
        <v>018DD1</v>
      </c>
      <c r="C17" s="1000">
        <f>'t11'!U19+'t11'!V19</f>
        <v>0</v>
      </c>
      <c r="D17" s="1000">
        <f>(C17-'t11'!Q19-'t11'!R19-'t11'!S19-'t11'!T19)</f>
        <v>0</v>
      </c>
      <c r="E17" s="1007">
        <f>'t12'!C17/12</f>
        <v>0</v>
      </c>
      <c r="F17" s="1000">
        <f>'t3'!M17+'t3'!N17+'t3'!O17+'t3'!P17+'t3'!Q17+'t3'!R17</f>
        <v>0</v>
      </c>
      <c r="G17" s="372" t="str">
        <f t="shared" si="0"/>
        <v>OK</v>
      </c>
      <c r="H17" s="372" t="str">
        <f t="shared" si="1"/>
        <v>OK</v>
      </c>
      <c r="I17" s="698">
        <f>IF(H17="KO",($H$5&amp;(('t12'!C17/12*273)+(('t3'!M17+'t3'!N17+'t3'!O17+'t3'!P17+'t3'!Q17+'t3'!R17)*273))&amp;")"),"")</f>
      </c>
    </row>
    <row r="18" spans="1:9" ht="12.75">
      <c r="A18" s="137" t="str">
        <f>'t1'!A18</f>
        <v>PROFESSORI DI SECONDA FASCIA T. DET. TERMINE ATTIV DIDATT</v>
      </c>
      <c r="B18" s="326" t="str">
        <f>'t1'!B18</f>
        <v>016DD2</v>
      </c>
      <c r="C18" s="1000">
        <f>'t11'!U20+'t11'!V20</f>
        <v>0</v>
      </c>
      <c r="D18" s="1000">
        <f>(C18-'t11'!Q20-'t11'!R20-'t11'!S20-'t11'!T20)</f>
        <v>0</v>
      </c>
      <c r="E18" s="1007">
        <f>'t12'!C18/12</f>
        <v>0</v>
      </c>
      <c r="F18" s="1000">
        <f>'t3'!M18+'t3'!N18+'t3'!O18+'t3'!P18+'t3'!Q18+'t3'!R18</f>
        <v>0</v>
      </c>
      <c r="G18" s="372" t="str">
        <f t="shared" si="0"/>
        <v>OK</v>
      </c>
      <c r="H18" s="372" t="str">
        <f t="shared" si="1"/>
        <v>OK</v>
      </c>
      <c r="I18" s="698">
        <f>IF(H18="KO",($H$5&amp;(('t12'!C18/12*273)+(('t3'!M18+'t3'!N18+'t3'!O18+'t3'!P18+'t3'!Q18+'t3'!R18)*273))&amp;")"),"")</f>
      </c>
    </row>
    <row r="19" spans="1:9" ht="12.75">
      <c r="A19" s="137" t="str">
        <f>'t1'!A19</f>
        <v>DIRETTORE AMMINISTRATIVO TEMPO DET.ANNUALE (EP2)</v>
      </c>
      <c r="B19" s="326" t="str">
        <f>'t1'!B19</f>
        <v>013EP2</v>
      </c>
      <c r="C19" s="1000">
        <f>'t11'!U21+'t11'!V21</f>
        <v>0</v>
      </c>
      <c r="D19" s="1000">
        <f>(C19-'t11'!Q21-'t11'!R21-'t11'!S21-'t11'!T21)</f>
        <v>0</v>
      </c>
      <c r="E19" s="1007">
        <f>'t12'!C19/12</f>
        <v>0</v>
      </c>
      <c r="F19" s="1000">
        <f>'t3'!M19+'t3'!N19+'t3'!O19+'t3'!P19+'t3'!Q19+'t3'!R19</f>
        <v>0</v>
      </c>
      <c r="G19" s="372" t="str">
        <f t="shared" si="0"/>
        <v>OK</v>
      </c>
      <c r="H19" s="372" t="str">
        <f t="shared" si="1"/>
        <v>OK</v>
      </c>
      <c r="I19" s="698">
        <f>IF(H19="KO",($H$5&amp;(('t12'!C19/12*273)+(('t3'!M19+'t3'!N19+'t3'!O19+'t3'!P19+'t3'!Q19+'t3'!R19)*273))&amp;")"),"")</f>
      </c>
    </row>
    <row r="20" spans="1:9" ht="12.75">
      <c r="A20" s="137" t="str">
        <f>'t1'!A20</f>
        <v>DIRETTORE DELL UFFICIO DI RAGIONERIA TEMPO DET.ANNUALE (EP1)</v>
      </c>
      <c r="B20" s="326" t="str">
        <f>'t1'!B20</f>
        <v>013160</v>
      </c>
      <c r="C20" s="1000">
        <f>'t11'!U22+'t11'!V22</f>
        <v>0</v>
      </c>
      <c r="D20" s="1000">
        <f>(C20-'t11'!Q22-'t11'!R22-'t11'!S22-'t11'!T22)</f>
        <v>0</v>
      </c>
      <c r="E20" s="1007">
        <f>'t12'!C20/12</f>
        <v>0</v>
      </c>
      <c r="F20" s="1000">
        <f>'t3'!M20+'t3'!N20+'t3'!O20+'t3'!P20+'t3'!Q20+'t3'!R20</f>
        <v>0</v>
      </c>
      <c r="G20" s="372" t="str">
        <f t="shared" si="0"/>
        <v>OK</v>
      </c>
      <c r="H20" s="372" t="str">
        <f t="shared" si="1"/>
        <v>OK</v>
      </c>
      <c r="I20" s="698">
        <f>IF(H20="KO",($H$5&amp;(('t12'!C20/12*273)+(('t3'!M20+'t3'!N20+'t3'!O20+'t3'!P20+'t3'!Q20+'t3'!R20)*273))&amp;")"),"")</f>
      </c>
    </row>
    <row r="21" spans="1:9" ht="12.75">
      <c r="A21" s="137" t="str">
        <f>'t1'!A21</f>
        <v>DIRETTORE AMMINISTRATIVO T. DET. TERMINE ATTIV DIDATT(EP2)</v>
      </c>
      <c r="B21" s="326" t="str">
        <f>'t1'!B21</f>
        <v>013E2N</v>
      </c>
      <c r="C21" s="1000">
        <f>'t11'!U23+'t11'!V23</f>
        <v>0</v>
      </c>
      <c r="D21" s="1000">
        <f>(C21-'t11'!Q23-'t11'!R23-'t11'!S23-'t11'!T23)</f>
        <v>0</v>
      </c>
      <c r="E21" s="1007">
        <f>'t12'!C21/12</f>
        <v>0</v>
      </c>
      <c r="F21" s="1000">
        <f>'t3'!M21+'t3'!N21+'t3'!O21+'t3'!P21+'t3'!Q21+'t3'!R21</f>
        <v>0</v>
      </c>
      <c r="G21" s="372" t="str">
        <f t="shared" si="0"/>
        <v>OK</v>
      </c>
      <c r="H21" s="372" t="str">
        <f t="shared" si="1"/>
        <v>OK</v>
      </c>
      <c r="I21" s="698">
        <f>IF(H21="KO",($H$5&amp;(('t12'!C21/12*273)+(('t3'!M21+'t3'!N21+'t3'!O21+'t3'!P21+'t3'!Q21+'t3'!R21)*273))&amp;")"),"")</f>
      </c>
    </row>
    <row r="22" spans="1:9" ht="12.75">
      <c r="A22" s="137" t="str">
        <f>'t1'!A22</f>
        <v>DIRETTORE UFF. RAGIONERIA T. DET. TERM. ATTIV DIDATT(EP1)</v>
      </c>
      <c r="B22" s="326" t="str">
        <f>'t1'!B22</f>
        <v>013E1N</v>
      </c>
      <c r="C22" s="1000">
        <f>'t11'!U24+'t11'!V24</f>
        <v>0</v>
      </c>
      <c r="D22" s="1000">
        <f>(C22-'t11'!Q24-'t11'!R24-'t11'!S24-'t11'!T24)</f>
        <v>0</v>
      </c>
      <c r="E22" s="1007">
        <f>'t12'!C22/12</f>
        <v>0</v>
      </c>
      <c r="F22" s="1000">
        <f>'t3'!M22+'t3'!N22+'t3'!O22+'t3'!P22+'t3'!Q22+'t3'!R22</f>
        <v>0</v>
      </c>
      <c r="G22" s="372" t="str">
        <f t="shared" si="0"/>
        <v>OK</v>
      </c>
      <c r="H22" s="372" t="str">
        <f t="shared" si="1"/>
        <v>OK</v>
      </c>
      <c r="I22" s="698">
        <f>IF(H22="KO",($H$5&amp;(('t12'!C22/12*273)+(('t3'!M22+'t3'!N22+'t3'!O22+'t3'!P22+'t3'!Q22+'t3'!R22)*273))&amp;")"),"")</f>
      </c>
    </row>
    <row r="23" spans="1:9" ht="12.75">
      <c r="A23" s="137" t="str">
        <f>'t1'!A23</f>
        <v>COORD. DI BIBLIOT., COORD. TEC. E AMM. TEMPO DET.ANNUALE</v>
      </c>
      <c r="B23" s="326" t="str">
        <f>'t1'!B23</f>
        <v>013DDE</v>
      </c>
      <c r="C23" s="1000">
        <f>'t11'!U25+'t11'!V25</f>
        <v>0</v>
      </c>
      <c r="D23" s="1000">
        <f>(C23-'t11'!Q25-'t11'!R25-'t11'!S25-'t11'!T25)</f>
        <v>0</v>
      </c>
      <c r="E23" s="1007">
        <f>'t12'!C23/12</f>
        <v>0</v>
      </c>
      <c r="F23" s="1000">
        <f>'t3'!M23+'t3'!N23+'t3'!O23+'t3'!P23+'t3'!Q23+'t3'!R23</f>
        <v>0</v>
      </c>
      <c r="G23" s="372" t="str">
        <f t="shared" si="0"/>
        <v>OK</v>
      </c>
      <c r="H23" s="372" t="str">
        <f t="shared" si="1"/>
        <v>OK</v>
      </c>
      <c r="I23" s="698">
        <f>IF(H23="KO",($H$5&amp;(('t12'!C23/12*273)+(('t3'!M23+'t3'!N23+'t3'!O23+'t3'!P23+'t3'!Q23+'t3'!R23)*273))&amp;")"),"")</f>
      </c>
    </row>
    <row r="24" spans="1:9" ht="12.75">
      <c r="A24" s="137" t="str">
        <f>'t1'!A24</f>
        <v>COLLAB. TEC. AMMIN. DI BIBLIOT. E DI LAB. TEMPO DET.ANNUALE</v>
      </c>
      <c r="B24" s="326" t="str">
        <f>'t1'!B24</f>
        <v>013CDE</v>
      </c>
      <c r="C24" s="1000">
        <f>'t11'!U26+'t11'!V26</f>
        <v>0</v>
      </c>
      <c r="D24" s="1000">
        <f>(C24-'t11'!Q26-'t11'!R26-'t11'!S26-'t11'!T26)</f>
        <v>0</v>
      </c>
      <c r="E24" s="1007">
        <f>'t12'!C24/12</f>
        <v>0</v>
      </c>
      <c r="F24" s="1000">
        <f>'t3'!M24+'t3'!N24+'t3'!O24+'t3'!P24+'t3'!Q24+'t3'!R24</f>
        <v>0</v>
      </c>
      <c r="G24" s="372" t="str">
        <f t="shared" si="0"/>
        <v>OK</v>
      </c>
      <c r="H24" s="372" t="str">
        <f t="shared" si="1"/>
        <v>OK</v>
      </c>
      <c r="I24" s="698">
        <f>IF(H24="KO",($H$5&amp;(('t12'!C24/12*273)+(('t3'!M24+'t3'!N24+'t3'!O24+'t3'!P24+'t3'!Q24+'t3'!R24)*273))&amp;")"),"")</f>
      </c>
    </row>
    <row r="25" spans="1:9" ht="12.75">
      <c r="A25" s="137" t="str">
        <f>'t1'!A25</f>
        <v>ASSIST. AMMINISTRATIVO TEMPO DET.ANNUALE</v>
      </c>
      <c r="B25" s="326" t="str">
        <f>'t1'!B25</f>
        <v>012118</v>
      </c>
      <c r="C25" s="1000">
        <f>'t11'!U27+'t11'!V27</f>
        <v>27</v>
      </c>
      <c r="D25" s="1000">
        <f>(C25-'t11'!Q27-'t11'!R27-'t11'!S27-'t11'!T27)</f>
        <v>27</v>
      </c>
      <c r="E25" s="1007">
        <f>'t12'!C25/12</f>
        <v>0</v>
      </c>
      <c r="F25" s="1000">
        <f>'t3'!M25+'t3'!N25+'t3'!O25+'t3'!P25+'t3'!Q25+'t3'!R25</f>
        <v>0</v>
      </c>
      <c r="G25" s="372" t="str">
        <f t="shared" si="0"/>
        <v>ERRORE</v>
      </c>
      <c r="H25" s="372" t="str">
        <f t="shared" si="1"/>
        <v>KO</v>
      </c>
      <c r="I25" s="698" t="str">
        <f>IF(H25="KO",($H$5&amp;(('t12'!C25/12*273)+(('t3'!M25+'t3'!N25+'t3'!O25+'t3'!P25+'t3'!Q25+'t3'!R25)*273))&amp;")"),"")</f>
        <v>T12 non compilata o assenze comunicate &gt; gg lavorabili (0)</v>
      </c>
    </row>
    <row r="26" spans="1:9" ht="12.75">
      <c r="A26" s="137" t="str">
        <f>'t1'!A26</f>
        <v>COADIUTORE TEMPO DET.ANNUALE</v>
      </c>
      <c r="B26" s="326" t="str">
        <f>'t1'!B26</f>
        <v>011124</v>
      </c>
      <c r="C26" s="1000">
        <f>'t11'!U28+'t11'!V28</f>
        <v>127</v>
      </c>
      <c r="D26" s="1000">
        <f>(C26-'t11'!Q28-'t11'!R28-'t11'!S28-'t11'!T28)</f>
        <v>127</v>
      </c>
      <c r="E26" s="1007">
        <f>'t12'!C26/12</f>
        <v>0</v>
      </c>
      <c r="F26" s="1000">
        <f>'t3'!M26+'t3'!N26+'t3'!O26+'t3'!P26+'t3'!Q26+'t3'!R26</f>
        <v>0</v>
      </c>
      <c r="G26" s="372" t="str">
        <f t="shared" si="0"/>
        <v>ERRORE</v>
      </c>
      <c r="H26" s="372" t="str">
        <f t="shared" si="1"/>
        <v>KO</v>
      </c>
      <c r="I26" s="698" t="str">
        <f>IF(H26="KO",($H$5&amp;(('t12'!C26/12*273)+(('t3'!M26+'t3'!N26+'t3'!O26+'t3'!P26+'t3'!Q26+'t3'!R26)*273))&amp;")"),"")</f>
        <v>T12 non compilata o assenze comunicate &gt; gg lavorabili (0)</v>
      </c>
    </row>
    <row r="27" spans="1:9" ht="12.75">
      <c r="A27" s="137" t="str">
        <f>'t1'!A27</f>
        <v>COORD. BIBL., COORD. TEC. E AMM. T. DET. TERM. ATTIV DIDATT</v>
      </c>
      <c r="B27" s="326" t="str">
        <f>'t1'!B27</f>
        <v>013DDN</v>
      </c>
      <c r="C27" s="1000">
        <f>'t11'!U29+'t11'!V29</f>
        <v>0</v>
      </c>
      <c r="D27" s="1000">
        <f>(C27-'t11'!Q29-'t11'!R29-'t11'!S29-'t11'!T29)</f>
        <v>0</v>
      </c>
      <c r="E27" s="1007">
        <f>'t12'!C27/12</f>
        <v>0</v>
      </c>
      <c r="F27" s="1000">
        <f>'t3'!M27+'t3'!N27+'t3'!O27+'t3'!P27+'t3'!Q27+'t3'!R27</f>
        <v>0</v>
      </c>
      <c r="G27" s="372" t="str">
        <f t="shared" si="0"/>
        <v>OK</v>
      </c>
      <c r="H27" s="372" t="str">
        <f t="shared" si="1"/>
        <v>OK</v>
      </c>
      <c r="I27" s="698">
        <f>IF(H27="KO",($H$5&amp;(('t12'!C27/12*273)+(('t3'!M27+'t3'!N27+'t3'!O27+'t3'!P27+'t3'!Q27+'t3'!R27)*273))&amp;")"),"")</f>
      </c>
    </row>
    <row r="28" spans="1:9" ht="12.75">
      <c r="A28" s="137" t="str">
        <f>'t1'!A28</f>
        <v>COLLAB. TEC. AMM. BIBL. E DI LAB. T. D. TERM. ATTIV DIDATT</v>
      </c>
      <c r="B28" s="326" t="str">
        <f>'t1'!B28</f>
        <v>013CDN</v>
      </c>
      <c r="C28" s="1000">
        <f>'t11'!U30+'t11'!V30</f>
        <v>0</v>
      </c>
      <c r="D28" s="1000">
        <f>(C28-'t11'!Q30-'t11'!R30-'t11'!S30-'t11'!T30)</f>
        <v>0</v>
      </c>
      <c r="E28" s="1007">
        <f>'t12'!C28/12</f>
        <v>0</v>
      </c>
      <c r="F28" s="1000">
        <f>'t3'!M28+'t3'!N28+'t3'!O28+'t3'!P28+'t3'!Q28+'t3'!R28</f>
        <v>0</v>
      </c>
      <c r="G28" s="372" t="str">
        <f t="shared" si="0"/>
        <v>OK</v>
      </c>
      <c r="H28" s="372" t="str">
        <f t="shared" si="1"/>
        <v>OK</v>
      </c>
      <c r="I28" s="698">
        <f>IF(H28="KO",($H$5&amp;(('t12'!C28/12*273)+(('t3'!M28+'t3'!N28+'t3'!O28+'t3'!P28+'t3'!Q28+'t3'!R28)*273))&amp;")"),"")</f>
      </c>
    </row>
    <row r="29" spans="1:9" ht="12.75">
      <c r="A29" s="137" t="str">
        <f>'t1'!A29</f>
        <v>ASSISTENTE AMMINISTRATIVO TEM.DET. TERMINE ATTIV DIDATT</v>
      </c>
      <c r="B29" s="326" t="str">
        <f>'t1'!B29</f>
        <v>016509</v>
      </c>
      <c r="C29" s="1000">
        <f>'t11'!U31+'t11'!V31</f>
        <v>0</v>
      </c>
      <c r="D29" s="1000">
        <f>(C29-'t11'!Q31-'t11'!R31-'t11'!S31-'t11'!T31)</f>
        <v>0</v>
      </c>
      <c r="E29" s="1007">
        <f>'t12'!C29/12</f>
        <v>0</v>
      </c>
      <c r="F29" s="1000">
        <f>'t3'!M29+'t3'!N29+'t3'!O29+'t3'!P29+'t3'!Q29+'t3'!R29</f>
        <v>0</v>
      </c>
      <c r="G29" s="372" t="str">
        <f t="shared" si="0"/>
        <v>OK</v>
      </c>
      <c r="H29" s="372" t="str">
        <f t="shared" si="1"/>
        <v>OK</v>
      </c>
      <c r="I29" s="698">
        <f>IF(H29="KO",($H$5&amp;(('t12'!C29/12*273)+(('t3'!M29+'t3'!N29+'t3'!O29+'t3'!P29+'t3'!Q29+'t3'!R29)*273))&amp;")"),"")</f>
      </c>
    </row>
    <row r="30" spans="1:9" ht="12.75">
      <c r="A30" s="137" t="str">
        <f>'t1'!A30</f>
        <v>COADIUTORE TEMPO DET. TERMINE ATTIV DIDATT</v>
      </c>
      <c r="B30" s="326" t="str">
        <f>'t1'!B30</f>
        <v>011CNA</v>
      </c>
      <c r="C30" s="1000">
        <f>'t11'!U32+'t11'!V32</f>
        <v>0</v>
      </c>
      <c r="D30" s="1000">
        <f>(C30-'t11'!Q32-'t11'!R32-'t11'!S32-'t11'!T32)</f>
        <v>0</v>
      </c>
      <c r="E30" s="1007">
        <f>'t12'!C30/12</f>
        <v>0</v>
      </c>
      <c r="F30" s="1000">
        <f>'t3'!M30+'t3'!N30+'t3'!O30+'t3'!P30+'t3'!Q30+'t3'!R30</f>
        <v>0</v>
      </c>
      <c r="G30" s="372" t="str">
        <f t="shared" si="0"/>
        <v>OK</v>
      </c>
      <c r="H30" s="372" t="str">
        <f t="shared" si="1"/>
        <v>OK</v>
      </c>
      <c r="I30" s="698">
        <f>IF(H30="KO",($H$5&amp;(('t12'!C30/12*273)+(('t3'!M30+'t3'!N30+'t3'!O30+'t3'!P30+'t3'!Q30+'t3'!R30)*273))&amp;")"),"")</f>
      </c>
    </row>
  </sheetData>
  <sheetProtection password="EA98" sheet="1" formatColumns="0" selectLockedCells="1" selectUnlockedCells="1"/>
  <mergeCells count="3">
    <mergeCell ref="A1:I1"/>
    <mergeCell ref="D2:G2"/>
    <mergeCell ref="A3:I3"/>
  </mergeCells>
  <printOptions horizontalCentered="1"/>
  <pageMargins left="0.2" right="0.2" top="0.1968503937007874" bottom="0.15748031496062992" header="0.15748031496062992" footer="0.15748031496062992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9"/>
  <dimension ref="A1:AN12"/>
  <sheetViews>
    <sheetView showGridLines="0" zoomScalePageLayoutView="0" workbookViewId="0" topLeftCell="A1">
      <selection activeCell="AD8" sqref="AD8"/>
    </sheetView>
  </sheetViews>
  <sheetFormatPr defaultColWidth="9.33203125" defaultRowHeight="10.5"/>
  <cols>
    <col min="1" max="1" width="45" style="5" customWidth="1"/>
    <col min="2" max="2" width="5.33203125" style="7" hidden="1" customWidth="1"/>
    <col min="3" max="8" width="11.16015625" style="5" hidden="1" customWidth="1"/>
    <col min="9" max="16" width="10.83203125" style="5" hidden="1" customWidth="1"/>
    <col min="17" max="26" width="9.33203125" style="5" hidden="1" customWidth="1"/>
    <col min="27" max="32" width="11.16015625" style="5" customWidth="1"/>
    <col min="33" max="40" width="10.83203125" style="5" customWidth="1"/>
    <col min="41" max="42" width="9.33203125" style="5" customWidth="1"/>
    <col min="43" max="16384" width="9.33203125" style="5" customWidth="1"/>
  </cols>
  <sheetData>
    <row r="1" spans="1:37" ht="43.5" customHeight="1">
      <c r="A1" s="969" t="str">
        <f>'t1'!A1</f>
        <v>COMPARTO AFAM - anno 2016</v>
      </c>
      <c r="B1" s="969"/>
      <c r="C1" s="969"/>
      <c r="D1" s="969"/>
      <c r="E1" s="969"/>
      <c r="F1" s="969"/>
      <c r="G1" s="969"/>
      <c r="H1" s="969"/>
      <c r="I1" s="969"/>
      <c r="J1" s="969"/>
      <c r="K1" s="3"/>
      <c r="L1" s="320"/>
      <c r="M1"/>
      <c r="AI1" s="3"/>
      <c r="AJ1" s="320"/>
      <c r="AK1"/>
    </row>
    <row r="2" spans="1:36" ht="30" customHeight="1" thickBot="1">
      <c r="A2" s="6"/>
      <c r="G2" s="1140"/>
      <c r="H2" s="1140"/>
      <c r="I2" s="1140"/>
      <c r="J2" s="1140"/>
      <c r="K2" s="1140"/>
      <c r="L2" s="1140"/>
      <c r="AE2" s="1140"/>
      <c r="AF2" s="1140"/>
      <c r="AG2" s="1140"/>
      <c r="AH2" s="1140"/>
      <c r="AI2" s="1140"/>
      <c r="AJ2" s="1140"/>
    </row>
    <row r="3" spans="1:40" ht="24.75" customHeight="1" thickBot="1">
      <c r="A3" s="12"/>
      <c r="B3" s="13"/>
      <c r="C3" s="103" t="s">
        <v>260</v>
      </c>
      <c r="D3" s="14"/>
      <c r="E3" s="14"/>
      <c r="F3" s="14"/>
      <c r="G3" s="721"/>
      <c r="H3" s="721"/>
      <c r="I3" s="721"/>
      <c r="J3" s="721"/>
      <c r="K3" s="721"/>
      <c r="L3" s="722"/>
      <c r="M3" s="276"/>
      <c r="N3" s="276"/>
      <c r="O3" s="276"/>
      <c r="P3" s="277"/>
      <c r="AA3" s="103" t="s">
        <v>260</v>
      </c>
      <c r="AB3" s="14"/>
      <c r="AC3" s="14"/>
      <c r="AD3" s="14"/>
      <c r="AE3" s="721"/>
      <c r="AF3" s="721"/>
      <c r="AG3" s="721"/>
      <c r="AH3" s="721"/>
      <c r="AI3" s="721"/>
      <c r="AJ3" s="722"/>
      <c r="AK3" s="276"/>
      <c r="AL3" s="276"/>
      <c r="AM3" s="276"/>
      <c r="AN3" s="277"/>
    </row>
    <row r="4" spans="1:40" ht="52.5" customHeight="1" thickTop="1">
      <c r="A4" s="105" t="s">
        <v>111</v>
      </c>
      <c r="B4" s="106" t="s">
        <v>78</v>
      </c>
      <c r="C4" s="20" t="s">
        <v>141</v>
      </c>
      <c r="D4" s="107"/>
      <c r="E4" s="20" t="s">
        <v>142</v>
      </c>
      <c r="F4" s="107"/>
      <c r="G4" s="20" t="s">
        <v>58</v>
      </c>
      <c r="H4" s="107"/>
      <c r="I4" s="132" t="s">
        <v>671</v>
      </c>
      <c r="J4" s="107"/>
      <c r="K4" s="20" t="s">
        <v>348</v>
      </c>
      <c r="L4" s="316"/>
      <c r="M4" s="20" t="s">
        <v>0</v>
      </c>
      <c r="N4" s="316"/>
      <c r="O4" s="20" t="s">
        <v>1</v>
      </c>
      <c r="P4" s="316"/>
      <c r="AA4" s="20" t="s">
        <v>141</v>
      </c>
      <c r="AB4" s="107"/>
      <c r="AC4" s="20" t="s">
        <v>142</v>
      </c>
      <c r="AD4" s="107"/>
      <c r="AE4" s="20" t="s">
        <v>58</v>
      </c>
      <c r="AF4" s="107"/>
      <c r="AG4" s="132" t="s">
        <v>671</v>
      </c>
      <c r="AH4" s="107"/>
      <c r="AI4" s="20" t="s">
        <v>348</v>
      </c>
      <c r="AJ4" s="316"/>
      <c r="AK4" s="20" t="s">
        <v>0</v>
      </c>
      <c r="AL4" s="316"/>
      <c r="AM4" s="20" t="s">
        <v>1</v>
      </c>
      <c r="AN4" s="316"/>
    </row>
    <row r="5" spans="1:40" ht="20.25" customHeight="1" thickBot="1">
      <c r="A5" s="15"/>
      <c r="B5" s="19"/>
      <c r="C5" s="534" t="s">
        <v>80</v>
      </c>
      <c r="D5" s="535" t="s">
        <v>81</v>
      </c>
      <c r="E5" s="534" t="s">
        <v>80</v>
      </c>
      <c r="F5" s="535" t="s">
        <v>81</v>
      </c>
      <c r="G5" s="534" t="s">
        <v>80</v>
      </c>
      <c r="H5" s="535" t="s">
        <v>81</v>
      </c>
      <c r="I5" s="534" t="s">
        <v>80</v>
      </c>
      <c r="J5" s="535" t="s">
        <v>81</v>
      </c>
      <c r="K5" s="534" t="s">
        <v>80</v>
      </c>
      <c r="L5" s="536" t="s">
        <v>81</v>
      </c>
      <c r="M5" s="534" t="s">
        <v>80</v>
      </c>
      <c r="N5" s="536" t="s">
        <v>81</v>
      </c>
      <c r="O5" s="534" t="s">
        <v>80</v>
      </c>
      <c r="P5" s="536" t="s">
        <v>81</v>
      </c>
      <c r="AA5" s="534" t="s">
        <v>80</v>
      </c>
      <c r="AB5" s="535" t="s">
        <v>81</v>
      </c>
      <c r="AC5" s="534" t="s">
        <v>80</v>
      </c>
      <c r="AD5" s="535" t="s">
        <v>81</v>
      </c>
      <c r="AE5" s="534" t="s">
        <v>80</v>
      </c>
      <c r="AF5" s="535" t="s">
        <v>81</v>
      </c>
      <c r="AG5" s="534" t="s">
        <v>80</v>
      </c>
      <c r="AH5" s="535" t="s">
        <v>81</v>
      </c>
      <c r="AI5" s="534" t="s">
        <v>80</v>
      </c>
      <c r="AJ5" s="536" t="s">
        <v>81</v>
      </c>
      <c r="AK5" s="534" t="s">
        <v>80</v>
      </c>
      <c r="AL5" s="536" t="s">
        <v>81</v>
      </c>
      <c r="AM5" s="534" t="s">
        <v>80</v>
      </c>
      <c r="AN5" s="536" t="s">
        <v>81</v>
      </c>
    </row>
    <row r="6" spans="1:40" ht="20.25" customHeight="1" thickTop="1">
      <c r="A6" s="502" t="s">
        <v>501</v>
      </c>
      <c r="B6" s="503" t="s">
        <v>502</v>
      </c>
      <c r="C6" s="537">
        <f aca="true" t="shared" si="0" ref="C6:I8">ROUND(AA6,2)</f>
        <v>0</v>
      </c>
      <c r="D6" s="532">
        <f t="shared" si="0"/>
        <v>0</v>
      </c>
      <c r="E6" s="537">
        <f t="shared" si="0"/>
        <v>0</v>
      </c>
      <c r="F6" s="532">
        <f t="shared" si="0"/>
        <v>0</v>
      </c>
      <c r="G6" s="537">
        <f t="shared" si="0"/>
        <v>0</v>
      </c>
      <c r="H6" s="532">
        <f t="shared" si="0"/>
        <v>0</v>
      </c>
      <c r="I6" s="537">
        <f t="shared" si="0"/>
        <v>0</v>
      </c>
      <c r="J6" s="532">
        <f>ROUND(AH6,2)</f>
        <v>0</v>
      </c>
      <c r="K6" s="964">
        <f aca="true" t="shared" si="1" ref="K6:P8">ROUND(AI6,0)</f>
        <v>0</v>
      </c>
      <c r="L6" s="967">
        <f t="shared" si="1"/>
        <v>0</v>
      </c>
      <c r="M6" s="964">
        <f t="shared" si="1"/>
        <v>0</v>
      </c>
      <c r="N6" s="967">
        <f t="shared" si="1"/>
        <v>0</v>
      </c>
      <c r="O6" s="964">
        <f t="shared" si="1"/>
        <v>0</v>
      </c>
      <c r="P6" s="967">
        <f t="shared" si="1"/>
        <v>0</v>
      </c>
      <c r="AA6" s="1069"/>
      <c r="AB6" s="1070"/>
      <c r="AC6" s="1069"/>
      <c r="AD6" s="1070"/>
      <c r="AE6" s="1069"/>
      <c r="AF6" s="1070"/>
      <c r="AG6" s="1069"/>
      <c r="AH6" s="1070"/>
      <c r="AI6" s="537"/>
      <c r="AJ6" s="533"/>
      <c r="AK6" s="537"/>
      <c r="AL6" s="533"/>
      <c r="AM6" s="537"/>
      <c r="AN6" s="533"/>
    </row>
    <row r="7" spans="1:40" ht="20.25" customHeight="1">
      <c r="A7" s="502" t="s">
        <v>503</v>
      </c>
      <c r="B7" s="503" t="s">
        <v>504</v>
      </c>
      <c r="C7" s="528">
        <f t="shared" si="0"/>
        <v>0</v>
      </c>
      <c r="D7" s="529">
        <f t="shared" si="0"/>
        <v>0</v>
      </c>
      <c r="E7" s="528">
        <f t="shared" si="0"/>
        <v>0</v>
      </c>
      <c r="F7" s="529">
        <f t="shared" si="0"/>
        <v>0</v>
      </c>
      <c r="G7" s="528">
        <f t="shared" si="0"/>
        <v>0</v>
      </c>
      <c r="H7" s="529">
        <f t="shared" si="0"/>
        <v>0</v>
      </c>
      <c r="I7" s="528">
        <f t="shared" si="0"/>
        <v>0</v>
      </c>
      <c r="J7" s="529">
        <f>ROUND(AH7,2)</f>
        <v>0</v>
      </c>
      <c r="K7" s="965">
        <f t="shared" si="1"/>
        <v>0</v>
      </c>
      <c r="L7" s="968">
        <f t="shared" si="1"/>
        <v>0</v>
      </c>
      <c r="M7" s="965">
        <f t="shared" si="1"/>
        <v>0</v>
      </c>
      <c r="N7" s="968">
        <f t="shared" si="1"/>
        <v>0</v>
      </c>
      <c r="O7" s="965">
        <f t="shared" si="1"/>
        <v>0</v>
      </c>
      <c r="P7" s="968">
        <f t="shared" si="1"/>
        <v>0</v>
      </c>
      <c r="AA7" s="1071"/>
      <c r="AB7" s="1072"/>
      <c r="AC7" s="1071"/>
      <c r="AD7" s="1072"/>
      <c r="AE7" s="1071"/>
      <c r="AF7" s="1072"/>
      <c r="AG7" s="1071"/>
      <c r="AH7" s="1072"/>
      <c r="AI7" s="528"/>
      <c r="AJ7" s="530"/>
      <c r="AK7" s="528"/>
      <c r="AL7" s="530"/>
      <c r="AM7" s="528"/>
      <c r="AN7" s="530"/>
    </row>
    <row r="8" spans="1:40" ht="20.25" customHeight="1" thickBot="1">
      <c r="A8" s="502" t="s">
        <v>505</v>
      </c>
      <c r="B8" s="503" t="s">
        <v>506</v>
      </c>
      <c r="C8" s="531">
        <f t="shared" si="0"/>
        <v>8</v>
      </c>
      <c r="D8" s="532">
        <f t="shared" si="0"/>
        <v>6</v>
      </c>
      <c r="E8" s="531">
        <f t="shared" si="0"/>
        <v>0</v>
      </c>
      <c r="F8" s="532">
        <f t="shared" si="0"/>
        <v>0</v>
      </c>
      <c r="G8" s="531">
        <f t="shared" si="0"/>
        <v>0</v>
      </c>
      <c r="H8" s="532">
        <f t="shared" si="0"/>
        <v>0</v>
      </c>
      <c r="I8" s="531">
        <f t="shared" si="0"/>
        <v>0</v>
      </c>
      <c r="J8" s="532">
        <f>ROUND(AH8,2)</f>
        <v>0</v>
      </c>
      <c r="K8" s="966">
        <f t="shared" si="1"/>
        <v>0</v>
      </c>
      <c r="L8" s="967">
        <f t="shared" si="1"/>
        <v>0</v>
      </c>
      <c r="M8" s="966">
        <f t="shared" si="1"/>
        <v>0</v>
      </c>
      <c r="N8" s="967">
        <f t="shared" si="1"/>
        <v>0</v>
      </c>
      <c r="O8" s="966">
        <f t="shared" si="1"/>
        <v>0</v>
      </c>
      <c r="P8" s="967">
        <f t="shared" si="1"/>
        <v>0</v>
      </c>
      <c r="AA8" s="1069">
        <v>8</v>
      </c>
      <c r="AB8" s="1070">
        <v>6</v>
      </c>
      <c r="AC8" s="1073"/>
      <c r="AD8" s="1070"/>
      <c r="AE8" s="1073"/>
      <c r="AF8" s="1070"/>
      <c r="AG8" s="1073"/>
      <c r="AH8" s="1070"/>
      <c r="AI8" s="531"/>
      <c r="AJ8" s="533"/>
      <c r="AK8" s="531"/>
      <c r="AL8" s="533"/>
      <c r="AM8" s="531"/>
      <c r="AN8" s="533"/>
    </row>
    <row r="9" spans="1:40" ht="33" customHeight="1" thickBot="1" thickTop="1">
      <c r="A9" s="18" t="s">
        <v>82</v>
      </c>
      <c r="B9" s="16"/>
      <c r="C9" s="901">
        <f aca="true" t="shared" si="2" ref="C9:P9">SUM(C6:C8)</f>
        <v>8</v>
      </c>
      <c r="D9" s="902">
        <f t="shared" si="2"/>
        <v>6</v>
      </c>
      <c r="E9" s="901">
        <f t="shared" si="2"/>
        <v>0</v>
      </c>
      <c r="F9" s="902">
        <f t="shared" si="2"/>
        <v>0</v>
      </c>
      <c r="G9" s="901">
        <f t="shared" si="2"/>
        <v>0</v>
      </c>
      <c r="H9" s="902">
        <f t="shared" si="2"/>
        <v>0</v>
      </c>
      <c r="I9" s="901">
        <f t="shared" si="2"/>
        <v>0</v>
      </c>
      <c r="J9" s="902">
        <f t="shared" si="2"/>
        <v>0</v>
      </c>
      <c r="K9" s="901">
        <f t="shared" si="2"/>
        <v>0</v>
      </c>
      <c r="L9" s="903">
        <f t="shared" si="2"/>
        <v>0</v>
      </c>
      <c r="M9" s="901">
        <f t="shared" si="2"/>
        <v>0</v>
      </c>
      <c r="N9" s="903">
        <f t="shared" si="2"/>
        <v>0</v>
      </c>
      <c r="O9" s="901">
        <f t="shared" si="2"/>
        <v>0</v>
      </c>
      <c r="P9" s="903">
        <f t="shared" si="2"/>
        <v>0</v>
      </c>
      <c r="AA9" s="901">
        <f aca="true" t="shared" si="3" ref="AA9:AN9">SUM(AA6:AA8)</f>
        <v>8</v>
      </c>
      <c r="AB9" s="902">
        <f t="shared" si="3"/>
        <v>6</v>
      </c>
      <c r="AC9" s="901">
        <f t="shared" si="3"/>
        <v>0</v>
      </c>
      <c r="AD9" s="902">
        <f t="shared" si="3"/>
        <v>0</v>
      </c>
      <c r="AE9" s="901">
        <f t="shared" si="3"/>
        <v>0</v>
      </c>
      <c r="AF9" s="902">
        <f t="shared" si="3"/>
        <v>0</v>
      </c>
      <c r="AG9" s="901">
        <f t="shared" si="3"/>
        <v>0</v>
      </c>
      <c r="AH9" s="902">
        <f t="shared" si="3"/>
        <v>0</v>
      </c>
      <c r="AI9" s="901">
        <f t="shared" si="3"/>
        <v>0</v>
      </c>
      <c r="AJ9" s="903">
        <f t="shared" si="3"/>
        <v>0</v>
      </c>
      <c r="AK9" s="901">
        <f t="shared" si="3"/>
        <v>0</v>
      </c>
      <c r="AL9" s="903">
        <f t="shared" si="3"/>
        <v>0</v>
      </c>
      <c r="AM9" s="901">
        <f t="shared" si="3"/>
        <v>0</v>
      </c>
      <c r="AN9" s="903">
        <f t="shared" si="3"/>
        <v>0</v>
      </c>
    </row>
    <row r="10" spans="1:36" ht="8.25" customHeight="1">
      <c r="A10" s="8"/>
      <c r="B10" s="9"/>
      <c r="C10" s="10"/>
      <c r="D10" s="11"/>
      <c r="E10" s="10"/>
      <c r="F10" s="11"/>
      <c r="G10" s="10"/>
      <c r="H10" s="11"/>
      <c r="I10" s="10"/>
      <c r="J10" s="11"/>
      <c r="K10" s="10"/>
      <c r="L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</row>
    <row r="11" ht="12.75">
      <c r="A11" s="100" t="s">
        <v>143</v>
      </c>
    </row>
    <row r="12" ht="12.75">
      <c r="A12" s="100" t="s">
        <v>144</v>
      </c>
    </row>
  </sheetData>
  <sheetProtection password="EA98" sheet="1" formatColumns="0" selectLockedCells="1"/>
  <mergeCells count="2">
    <mergeCell ref="G2:L2"/>
    <mergeCell ref="AE2:AJ2"/>
  </mergeCells>
  <dataValidations count="2">
    <dataValidation type="decimal" allowBlank="1" showInputMessage="1" showErrorMessage="1" promptTitle="ATTENZIONE!" prompt="Inserire solo numeri decimali con due cifre dopo la virgola" sqref="C6:J8 AA6:AH8">
      <formula1>0</formula1>
      <formula2>9999999</formula2>
    </dataValidation>
    <dataValidation type="whole" allowBlank="1" showErrorMessage="1" promptTitle="ATTENZIONE!" prompt="Inserire solo numeri decimali con due cifre dopo la virgola" sqref="K6:P8 AI6:AN8">
      <formula1>0</formula1>
      <formula2>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4"/>
  <dimension ref="A1:T29"/>
  <sheetViews>
    <sheetView zoomScalePageLayoutView="0" workbookViewId="0" topLeftCell="A2">
      <selection activeCell="I14" sqref="I14:K14"/>
    </sheetView>
  </sheetViews>
  <sheetFormatPr defaultColWidth="9.33203125" defaultRowHeight="10.5"/>
  <cols>
    <col min="1" max="1" width="6.16015625" style="608" bestFit="1" customWidth="1"/>
    <col min="2" max="2" width="13" style="604" customWidth="1"/>
    <col min="3" max="3" width="43.66015625" style="604" customWidth="1"/>
    <col min="4" max="11" width="13.5" style="604" customWidth="1"/>
    <col min="12" max="19" width="7.83203125" style="604" hidden="1" customWidth="1"/>
    <col min="20" max="20" width="0" style="604" hidden="1" customWidth="1"/>
    <col min="21" max="21" width="8" style="604" customWidth="1"/>
    <col min="22" max="22" width="10.5" style="604" customWidth="1"/>
    <col min="23" max="16384" width="9.33203125" style="604" customWidth="1"/>
  </cols>
  <sheetData>
    <row r="1" spans="1:19" ht="23.25" customHeight="1">
      <c r="A1" s="608" t="str">
        <f>SI_1!A2</f>
        <v>AFAM</v>
      </c>
      <c r="B1" s="1143" t="str">
        <f>'t1'!A1</f>
        <v>COMPARTO AFAM - anno 2016</v>
      </c>
      <c r="C1" s="1143"/>
      <c r="D1" s="1143"/>
      <c r="E1" s="1143"/>
      <c r="F1" s="1143"/>
      <c r="G1" s="1143"/>
      <c r="H1" s="1143"/>
      <c r="I1" s="1143"/>
      <c r="J1" s="1143"/>
      <c r="K1" s="1143"/>
      <c r="L1" s="1143"/>
      <c r="M1" s="1143"/>
      <c r="N1" s="1143"/>
      <c r="O1" s="1143"/>
      <c r="P1" s="1143"/>
      <c r="Q1" s="1143"/>
      <c r="R1" s="1143"/>
      <c r="S1" s="1143"/>
    </row>
    <row r="2" spans="4:17" ht="10.5"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</row>
    <row r="3" spans="4:18" ht="23.25" customHeight="1">
      <c r="D3" s="606"/>
      <c r="E3" s="606"/>
      <c r="F3" s="606"/>
      <c r="G3" s="606"/>
      <c r="H3" s="606"/>
      <c r="I3" s="606"/>
      <c r="J3" s="625"/>
      <c r="K3" s="625"/>
      <c r="M3" s="607"/>
      <c r="N3" s="607"/>
      <c r="O3" s="607"/>
      <c r="P3" s="607"/>
      <c r="Q3" s="607"/>
      <c r="R3" s="607"/>
    </row>
    <row r="4" ht="12">
      <c r="D4" s="609"/>
    </row>
    <row r="6" spans="2:19" ht="15" customHeight="1" hidden="1" thickTop="1">
      <c r="B6" s="1144"/>
      <c r="C6" s="1145"/>
      <c r="D6" s="1146"/>
      <c r="E6" s="1147"/>
      <c r="F6" s="1147"/>
      <c r="G6" s="1147"/>
      <c r="H6" s="1147"/>
      <c r="I6" s="1147"/>
      <c r="J6" s="1147"/>
      <c r="K6" s="1148"/>
      <c r="L6" s="1146"/>
      <c r="M6" s="1147"/>
      <c r="N6" s="1147"/>
      <c r="O6" s="1147"/>
      <c r="P6" s="1147"/>
      <c r="Q6" s="1147"/>
      <c r="R6" s="1147"/>
      <c r="S6" s="1148"/>
    </row>
    <row r="7" spans="2:19" ht="13.5" customHeight="1" hidden="1">
      <c r="B7" s="1144"/>
      <c r="C7" s="1145"/>
      <c r="D7" s="1149"/>
      <c r="E7" s="1144"/>
      <c r="F7" s="1144"/>
      <c r="G7" s="1144"/>
      <c r="H7" s="1144"/>
      <c r="I7" s="1144"/>
      <c r="J7" s="1144"/>
      <c r="K7" s="1150"/>
      <c r="L7" s="1149"/>
      <c r="M7" s="1144"/>
      <c r="N7" s="1144"/>
      <c r="O7" s="1144"/>
      <c r="P7" s="1144"/>
      <c r="Q7" s="1144"/>
      <c r="R7" s="1144"/>
      <c r="S7" s="1150"/>
    </row>
    <row r="8" spans="2:19" ht="60" customHeight="1">
      <c r="B8" s="1144" t="s">
        <v>363</v>
      </c>
      <c r="C8" s="1145"/>
      <c r="D8" s="1141" t="s">
        <v>322</v>
      </c>
      <c r="E8" s="1142"/>
      <c r="F8" s="1142" t="s">
        <v>323</v>
      </c>
      <c r="G8" s="1142"/>
      <c r="H8" s="1142" t="s">
        <v>324</v>
      </c>
      <c r="I8" s="1142"/>
      <c r="J8" s="1142" t="s">
        <v>325</v>
      </c>
      <c r="K8" s="1151"/>
      <c r="L8" s="1153"/>
      <c r="M8" s="1142"/>
      <c r="N8" s="1142"/>
      <c r="O8" s="1142"/>
      <c r="P8" s="1142"/>
      <c r="Q8" s="1142"/>
      <c r="R8" s="1142"/>
      <c r="S8" s="1151"/>
    </row>
    <row r="9" spans="2:19" ht="12">
      <c r="B9" s="1142" t="s">
        <v>326</v>
      </c>
      <c r="C9" s="1152"/>
      <c r="D9" s="616" t="s">
        <v>97</v>
      </c>
      <c r="E9" s="615" t="s">
        <v>98</v>
      </c>
      <c r="F9" s="614" t="s">
        <v>97</v>
      </c>
      <c r="G9" s="615" t="s">
        <v>98</v>
      </c>
      <c r="H9" s="614" t="s">
        <v>97</v>
      </c>
      <c r="I9" s="615" t="s">
        <v>98</v>
      </c>
      <c r="J9" s="614" t="s">
        <v>97</v>
      </c>
      <c r="K9" s="617" t="s">
        <v>98</v>
      </c>
      <c r="L9" s="616"/>
      <c r="M9" s="615"/>
      <c r="N9" s="614"/>
      <c r="O9" s="615"/>
      <c r="P9" s="614"/>
      <c r="Q9" s="615"/>
      <c r="R9" s="614"/>
      <c r="S9" s="617"/>
    </row>
    <row r="10" spans="1:19" ht="30.75" customHeight="1">
      <c r="A10" s="608" t="s">
        <v>327</v>
      </c>
      <c r="B10" s="1142" t="s">
        <v>328</v>
      </c>
      <c r="C10" s="1152"/>
      <c r="D10" s="1074"/>
      <c r="E10" s="1075"/>
      <c r="F10" s="1075"/>
      <c r="G10" s="1075"/>
      <c r="H10" s="1076"/>
      <c r="I10" s="630">
        <v>3</v>
      </c>
      <c r="J10" s="630">
        <v>8</v>
      </c>
      <c r="K10" s="632">
        <v>3</v>
      </c>
      <c r="L10" s="631"/>
      <c r="M10" s="630"/>
      <c r="N10" s="630"/>
      <c r="O10" s="630"/>
      <c r="P10" s="630"/>
      <c r="Q10" s="630"/>
      <c r="R10" s="630"/>
      <c r="S10" s="632"/>
    </row>
    <row r="11" spans="2:19" ht="7.5" customHeight="1">
      <c r="B11" s="1154"/>
      <c r="C11" s="1154"/>
      <c r="D11" s="1154"/>
      <c r="E11" s="1154"/>
      <c r="F11" s="1154"/>
      <c r="G11" s="1154"/>
      <c r="H11" s="1154"/>
      <c r="I11" s="1154"/>
      <c r="J11" s="1154"/>
      <c r="K11" s="1154"/>
      <c r="L11" s="1154"/>
      <c r="M11" s="1154"/>
      <c r="N11" s="1154"/>
      <c r="O11" s="1154"/>
      <c r="P11" s="1154"/>
      <c r="Q11" s="1154"/>
      <c r="R11" s="1154"/>
      <c r="S11" s="1154"/>
    </row>
    <row r="12" spans="1:19" ht="15" customHeight="1">
      <c r="A12" s="608" t="str">
        <f>'t2'!B6</f>
        <v>PR</v>
      </c>
      <c r="B12" s="1144" t="s">
        <v>329</v>
      </c>
      <c r="C12" s="618" t="str">
        <f>'t2'!A6</f>
        <v>PROFESSORI</v>
      </c>
      <c r="D12" s="1077"/>
      <c r="E12" s="630"/>
      <c r="F12" s="630"/>
      <c r="G12" s="630"/>
      <c r="H12" s="630"/>
      <c r="I12" s="630"/>
      <c r="J12" s="630"/>
      <c r="K12" s="632"/>
      <c r="L12" s="631"/>
      <c r="M12" s="630"/>
      <c r="N12" s="630"/>
      <c r="O12" s="630"/>
      <c r="P12" s="630"/>
      <c r="Q12" s="630"/>
      <c r="R12" s="630"/>
      <c r="S12" s="632"/>
    </row>
    <row r="13" spans="1:19" ht="12">
      <c r="A13" s="608" t="str">
        <f>'t2'!B7</f>
        <v>EP</v>
      </c>
      <c r="B13" s="1144"/>
      <c r="C13" s="618" t="str">
        <f>'t2'!A7</f>
        <v>PERSONALE ELEVATE PROFESSIONALITA</v>
      </c>
      <c r="D13" s="1077"/>
      <c r="E13" s="630"/>
      <c r="F13" s="630"/>
      <c r="G13" s="630"/>
      <c r="H13" s="630"/>
      <c r="I13" s="630"/>
      <c r="J13" s="630"/>
      <c r="K13" s="632"/>
      <c r="L13" s="631"/>
      <c r="M13" s="630"/>
      <c r="N13" s="630"/>
      <c r="O13" s="630"/>
      <c r="P13" s="630"/>
      <c r="Q13" s="630"/>
      <c r="R13" s="630"/>
      <c r="S13" s="632"/>
    </row>
    <row r="14" spans="1:19" ht="12">
      <c r="A14" s="608" t="str">
        <f>'t2'!B8</f>
        <v>PA</v>
      </c>
      <c r="B14" s="1144"/>
      <c r="C14" s="618" t="str">
        <f>'t2'!A8</f>
        <v>PERSONALE DELLE AREE</v>
      </c>
      <c r="D14" s="1077"/>
      <c r="E14" s="630"/>
      <c r="F14" s="630"/>
      <c r="G14" s="630"/>
      <c r="H14" s="630"/>
      <c r="I14" s="1299"/>
      <c r="J14" s="1299"/>
      <c r="K14" s="1299"/>
      <c r="L14" s="631"/>
      <c r="M14" s="630"/>
      <c r="N14" s="630"/>
      <c r="O14" s="630"/>
      <c r="P14" s="630"/>
      <c r="Q14" s="630"/>
      <c r="R14" s="630"/>
      <c r="S14" s="632"/>
    </row>
    <row r="15" spans="1:20" s="612" customFormat="1" ht="13.5">
      <c r="A15" s="610"/>
      <c r="B15" s="1144"/>
      <c r="C15" s="619" t="s">
        <v>330</v>
      </c>
      <c r="D15" s="633">
        <f aca="true" t="shared" si="0" ref="D15:K15">SUM(D12:D14)</f>
        <v>0</v>
      </c>
      <c r="E15" s="634">
        <f t="shared" si="0"/>
        <v>0</v>
      </c>
      <c r="F15" s="634">
        <f t="shared" si="0"/>
        <v>0</v>
      </c>
      <c r="G15" s="634">
        <f t="shared" si="0"/>
        <v>0</v>
      </c>
      <c r="H15" s="634">
        <f t="shared" si="0"/>
        <v>0</v>
      </c>
      <c r="I15" s="634">
        <f t="shared" si="0"/>
        <v>0</v>
      </c>
      <c r="J15" s="634">
        <f t="shared" si="0"/>
        <v>0</v>
      </c>
      <c r="K15" s="635">
        <f t="shared" si="0"/>
        <v>0</v>
      </c>
      <c r="L15" s="633"/>
      <c r="M15" s="634"/>
      <c r="N15" s="634"/>
      <c r="O15" s="634"/>
      <c r="P15" s="634"/>
      <c r="Q15" s="634"/>
      <c r="R15" s="634"/>
      <c r="S15" s="635"/>
      <c r="T15" s="611">
        <f>SUM(D15:S15,D10:S10)</f>
        <v>14</v>
      </c>
    </row>
    <row r="23" ht="16.5" customHeight="1"/>
    <row r="24" spans="6:7" ht="12.75">
      <c r="F24" s="613"/>
      <c r="G24" s="613"/>
    </row>
    <row r="25" spans="6:7" ht="12.75">
      <c r="F25" s="613"/>
      <c r="G25" s="613"/>
    </row>
    <row r="27" spans="6:7" ht="12.75">
      <c r="F27" s="613"/>
      <c r="G27" s="613"/>
    </row>
    <row r="29" spans="6:7" ht="12.75">
      <c r="F29" s="613"/>
      <c r="G29" s="613"/>
    </row>
  </sheetData>
  <sheetProtection password="EA98" sheet="1" formatColumns="0" selectLockedCells="1"/>
  <mergeCells count="17">
    <mergeCell ref="B12:B15"/>
    <mergeCell ref="P8:Q8"/>
    <mergeCell ref="R8:S8"/>
    <mergeCell ref="B9:C9"/>
    <mergeCell ref="B10:C10"/>
    <mergeCell ref="J8:K8"/>
    <mergeCell ref="L8:M8"/>
    <mergeCell ref="N8:O8"/>
    <mergeCell ref="B11:S11"/>
    <mergeCell ref="B8:C8"/>
    <mergeCell ref="D8:E8"/>
    <mergeCell ref="F8:G8"/>
    <mergeCell ref="H8:I8"/>
    <mergeCell ref="B1:S1"/>
    <mergeCell ref="B6:C7"/>
    <mergeCell ref="D6:K7"/>
    <mergeCell ref="L6:S7"/>
  </mergeCells>
  <dataValidations count="1">
    <dataValidation type="whole" allowBlank="1" showInputMessage="1" showErrorMessage="1" errorTitle="ERRORE" error="INSERIRE SOLO NUMERI INTERI COMPRESI TRA 0 E 9999999" sqref="D12:H14 L12:S14 I12:K13 D10:S10">
      <formula1>0</formula1>
      <formula2>9999999</formula2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0"/>
  <dimension ref="A1:X36"/>
  <sheetViews>
    <sheetView showGridLines="0" zoomScalePageLayoutView="0" workbookViewId="0" topLeftCell="A1">
      <pane xSplit="2" ySplit="5" topLeftCell="C6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C6" sqref="C6"/>
    </sheetView>
  </sheetViews>
  <sheetFormatPr defaultColWidth="10.66015625" defaultRowHeight="10.5"/>
  <cols>
    <col min="1" max="1" width="57.83203125" style="89" customWidth="1"/>
    <col min="2" max="2" width="10.66015625" style="98" customWidth="1"/>
    <col min="3" max="16" width="11.5" style="89" customWidth="1"/>
    <col min="17" max="18" width="11.5" style="0" customWidth="1"/>
    <col min="19" max="19" width="9.16015625" style="89" hidden="1" customWidth="1"/>
    <col min="20" max="20" width="9.16015625" style="89" customWidth="1"/>
    <col min="21" max="21" width="6.66015625" style="89" customWidth="1"/>
    <col min="22" max="25" width="10.83203125" style="89" customWidth="1"/>
    <col min="26" max="16384" width="10.66015625" style="89" customWidth="1"/>
  </cols>
  <sheetData>
    <row r="1" spans="1:19" s="5" customFormat="1" ht="43.5" customHeight="1">
      <c r="A1" s="1155" t="str">
        <f>'t1'!A1</f>
        <v>COMPARTO AFAM - anno 2016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3"/>
      <c r="P1" s="320"/>
      <c r="Q1"/>
      <c r="R1"/>
      <c r="S1"/>
    </row>
    <row r="2" spans="1:19" s="5" customFormat="1" ht="30" customHeight="1" thickBot="1">
      <c r="A2" s="319"/>
      <c r="B2" s="2"/>
      <c r="C2" s="3"/>
      <c r="D2" s="3"/>
      <c r="E2" s="3"/>
      <c r="F2" s="1156"/>
      <c r="G2" s="1156"/>
      <c r="H2" s="1156"/>
      <c r="I2" s="1156"/>
      <c r="J2" s="1156"/>
      <c r="K2" s="1156"/>
      <c r="L2" s="1156"/>
      <c r="M2" s="1156"/>
      <c r="N2" s="1156"/>
      <c r="O2" s="1156"/>
      <c r="P2" s="1156"/>
      <c r="Q2"/>
      <c r="R2"/>
      <c r="S2"/>
    </row>
    <row r="3" spans="1:20" ht="18.75" customHeight="1" thickBot="1">
      <c r="A3" s="1164" t="s">
        <v>146</v>
      </c>
      <c r="B3" s="91"/>
      <c r="C3" s="141" t="s">
        <v>148</v>
      </c>
      <c r="D3" s="142"/>
      <c r="E3" s="142"/>
      <c r="F3" s="143"/>
      <c r="G3" s="142"/>
      <c r="H3" s="142"/>
      <c r="I3" s="142"/>
      <c r="J3" s="142"/>
      <c r="K3" s="142"/>
      <c r="L3" s="142"/>
      <c r="M3" s="1160" t="s">
        <v>149</v>
      </c>
      <c r="N3" s="1161"/>
      <c r="O3" s="1161"/>
      <c r="P3" s="1161"/>
      <c r="Q3" s="1161"/>
      <c r="R3" s="1162"/>
      <c r="S3"/>
      <c r="T3"/>
    </row>
    <row r="4" spans="1:20" ht="21.75" customHeight="1" thickTop="1">
      <c r="A4" s="1165"/>
      <c r="B4" s="287" t="s">
        <v>78</v>
      </c>
      <c r="C4" s="144" t="s">
        <v>195</v>
      </c>
      <c r="D4" s="145"/>
      <c r="E4" s="1157" t="s">
        <v>108</v>
      </c>
      <c r="F4" s="1158"/>
      <c r="G4" s="1159" t="s">
        <v>60</v>
      </c>
      <c r="H4" s="1159"/>
      <c r="I4" s="1159" t="s">
        <v>368</v>
      </c>
      <c r="J4" s="1159"/>
      <c r="K4" s="1159" t="s">
        <v>369</v>
      </c>
      <c r="L4" s="1163"/>
      <c r="M4" s="144" t="s">
        <v>195</v>
      </c>
      <c r="N4" s="146"/>
      <c r="O4" s="147" t="s">
        <v>108</v>
      </c>
      <c r="P4" s="146"/>
      <c r="Q4" s="147" t="s">
        <v>60</v>
      </c>
      <c r="R4" s="146"/>
      <c r="S4"/>
      <c r="T4"/>
    </row>
    <row r="5" spans="1:20" ht="12" thickBot="1">
      <c r="A5" s="917" t="s">
        <v>687</v>
      </c>
      <c r="B5" s="288"/>
      <c r="C5" s="148" t="s">
        <v>80</v>
      </c>
      <c r="D5" s="149" t="s">
        <v>81</v>
      </c>
      <c r="E5" s="150" t="s">
        <v>80</v>
      </c>
      <c r="F5" s="149" t="s">
        <v>81</v>
      </c>
      <c r="G5" s="150" t="s">
        <v>80</v>
      </c>
      <c r="H5" s="149" t="s">
        <v>81</v>
      </c>
      <c r="I5" s="150" t="s">
        <v>80</v>
      </c>
      <c r="J5" s="149" t="s">
        <v>81</v>
      </c>
      <c r="K5" s="150" t="s">
        <v>80</v>
      </c>
      <c r="L5" s="149" t="s">
        <v>81</v>
      </c>
      <c r="M5" s="151" t="s">
        <v>80</v>
      </c>
      <c r="N5" s="152" t="s">
        <v>81</v>
      </c>
      <c r="O5" s="153" t="s">
        <v>80</v>
      </c>
      <c r="P5" s="152" t="s">
        <v>81</v>
      </c>
      <c r="Q5" s="153" t="s">
        <v>80</v>
      </c>
      <c r="R5" s="152" t="s">
        <v>81</v>
      </c>
      <c r="S5"/>
      <c r="T5"/>
    </row>
    <row r="6" spans="1:20" ht="12.75" customHeight="1" thickTop="1">
      <c r="A6" s="25" t="str">
        <f>'t1'!A6</f>
        <v>DIRIGENTE SCOLASTICO</v>
      </c>
      <c r="B6" s="289" t="str">
        <f>'t1'!B6</f>
        <v>0D0158</v>
      </c>
      <c r="C6" s="230"/>
      <c r="D6" s="231"/>
      <c r="E6" s="232"/>
      <c r="F6" s="545"/>
      <c r="G6" s="547"/>
      <c r="H6" s="231"/>
      <c r="I6" s="547"/>
      <c r="J6" s="231"/>
      <c r="K6" s="547"/>
      <c r="L6" s="231"/>
      <c r="M6" s="233"/>
      <c r="N6" s="234"/>
      <c r="O6" s="235"/>
      <c r="P6" s="636"/>
      <c r="Q6" s="637"/>
      <c r="R6" s="621"/>
      <c r="S6">
        <f>'t1'!N6</f>
        <v>0</v>
      </c>
      <c r="T6"/>
    </row>
    <row r="7" spans="1:20" ht="12.75" customHeight="1">
      <c r="A7" s="24" t="str">
        <f>'t1'!A7</f>
        <v>PROFESSORI DI PRIMA FASCIA</v>
      </c>
      <c r="B7" s="290" t="str">
        <f>'t1'!B7</f>
        <v>018P01</v>
      </c>
      <c r="C7" s="230"/>
      <c r="D7" s="231"/>
      <c r="E7" s="232"/>
      <c r="F7" s="545"/>
      <c r="G7" s="239"/>
      <c r="H7" s="231"/>
      <c r="I7" s="239"/>
      <c r="J7" s="231"/>
      <c r="K7" s="239"/>
      <c r="L7" s="231"/>
      <c r="M7" s="233"/>
      <c r="N7" s="234"/>
      <c r="O7" s="235"/>
      <c r="P7" s="638"/>
      <c r="Q7" s="639"/>
      <c r="R7" s="622"/>
      <c r="S7">
        <f>'t1'!N7</f>
        <v>9</v>
      </c>
      <c r="T7"/>
    </row>
    <row r="8" spans="1:20" ht="12.75" customHeight="1">
      <c r="A8" s="24" t="str">
        <f>'t1'!A8</f>
        <v>PROFESSORI DI SECONDA FASCIA</v>
      </c>
      <c r="B8" s="290" t="str">
        <f>'t1'!B8</f>
        <v>016P02</v>
      </c>
      <c r="C8" s="230"/>
      <c r="D8" s="231"/>
      <c r="E8" s="232"/>
      <c r="F8" s="545"/>
      <c r="G8" s="239"/>
      <c r="H8" s="231"/>
      <c r="I8" s="239"/>
      <c r="J8" s="231"/>
      <c r="K8" s="239"/>
      <c r="L8" s="231"/>
      <c r="M8" s="233"/>
      <c r="N8" s="234"/>
      <c r="O8" s="235"/>
      <c r="P8" s="638"/>
      <c r="Q8" s="639"/>
      <c r="R8" s="622"/>
      <c r="S8">
        <f>'t1'!N8</f>
        <v>7</v>
      </c>
      <c r="T8"/>
    </row>
    <row r="9" spans="1:20" ht="12.75" customHeight="1">
      <c r="A9" s="24" t="str">
        <f>'t1'!A9</f>
        <v>DIRETTORE AMMINISTRATIVO EP2</v>
      </c>
      <c r="B9" s="290" t="str">
        <f>'t1'!B9</f>
        <v>013504</v>
      </c>
      <c r="C9" s="230"/>
      <c r="D9" s="231"/>
      <c r="E9" s="232"/>
      <c r="F9" s="545"/>
      <c r="G9" s="239"/>
      <c r="H9" s="231"/>
      <c r="I9" s="239"/>
      <c r="J9" s="231"/>
      <c r="K9" s="239"/>
      <c r="L9" s="231"/>
      <c r="M9" s="233"/>
      <c r="N9" s="234"/>
      <c r="O9" s="235"/>
      <c r="P9" s="638"/>
      <c r="Q9" s="639"/>
      <c r="R9" s="622"/>
      <c r="S9">
        <f>'t1'!N9</f>
        <v>1</v>
      </c>
      <c r="T9"/>
    </row>
    <row r="10" spans="1:20" ht="12.75" customHeight="1">
      <c r="A10" s="24" t="str">
        <f>'t1'!A10</f>
        <v>DIRETTORE DELL UFFICIO DI RAGIONERIA (EP1)</v>
      </c>
      <c r="B10" s="290" t="str">
        <f>'t1'!B10</f>
        <v>013159</v>
      </c>
      <c r="C10" s="230"/>
      <c r="D10" s="231"/>
      <c r="E10" s="232"/>
      <c r="F10" s="545"/>
      <c r="G10" s="239"/>
      <c r="H10" s="231"/>
      <c r="I10" s="239"/>
      <c r="J10" s="231"/>
      <c r="K10" s="239"/>
      <c r="L10" s="231"/>
      <c r="M10" s="233"/>
      <c r="N10" s="234"/>
      <c r="O10" s="235"/>
      <c r="P10" s="638"/>
      <c r="Q10" s="639"/>
      <c r="R10" s="622"/>
      <c r="S10">
        <f>'t1'!N10</f>
        <v>1</v>
      </c>
      <c r="T10"/>
    </row>
    <row r="11" spans="1:20" ht="12.75" customHeight="1">
      <c r="A11" s="24" t="str">
        <f>'t1'!A11</f>
        <v>COORDINATORE DI BIBLIOTECA TECNICO E AMMINISTRATIVO(D)</v>
      </c>
      <c r="B11" s="290" t="str">
        <f>'t1'!B11</f>
        <v>013DTE</v>
      </c>
      <c r="C11" s="230"/>
      <c r="D11" s="231"/>
      <c r="E11" s="232"/>
      <c r="F11" s="545"/>
      <c r="G11" s="239"/>
      <c r="H11" s="231"/>
      <c r="I11" s="239"/>
      <c r="J11" s="231"/>
      <c r="K11" s="239"/>
      <c r="L11" s="231"/>
      <c r="M11" s="233"/>
      <c r="N11" s="234"/>
      <c r="O11" s="235"/>
      <c r="P11" s="638"/>
      <c r="Q11" s="639"/>
      <c r="R11" s="622"/>
      <c r="S11">
        <f>'t1'!N11</f>
        <v>0</v>
      </c>
      <c r="T11"/>
    </row>
    <row r="12" spans="1:20" ht="12.75" customHeight="1">
      <c r="A12" s="24" t="str">
        <f>'t1'!A12</f>
        <v>COLLABORATORE TEC. AMMIN. DI BIBLIOT. E DI LAB. (C)</v>
      </c>
      <c r="B12" s="290" t="str">
        <f>'t1'!B12</f>
        <v>013CTE</v>
      </c>
      <c r="C12" s="230"/>
      <c r="D12" s="231"/>
      <c r="E12" s="232"/>
      <c r="F12" s="545"/>
      <c r="G12" s="239"/>
      <c r="H12" s="231"/>
      <c r="I12" s="239"/>
      <c r="J12" s="231"/>
      <c r="K12" s="239"/>
      <c r="L12" s="231"/>
      <c r="M12" s="233"/>
      <c r="N12" s="234"/>
      <c r="O12" s="235"/>
      <c r="P12" s="638"/>
      <c r="Q12" s="639"/>
      <c r="R12" s="622"/>
      <c r="S12">
        <f>'t1'!N12</f>
        <v>0</v>
      </c>
      <c r="T12"/>
    </row>
    <row r="13" spans="1:20" ht="12.75" customHeight="1">
      <c r="A13" s="24" t="str">
        <f>'t1'!A13</f>
        <v>ASSISTENTE AMMINISTRATIVO (B)</v>
      </c>
      <c r="B13" s="290" t="str">
        <f>'t1'!B13</f>
        <v>012117</v>
      </c>
      <c r="C13" s="230"/>
      <c r="D13" s="231"/>
      <c r="E13" s="232"/>
      <c r="F13" s="545"/>
      <c r="G13" s="239"/>
      <c r="H13" s="231"/>
      <c r="I13" s="239"/>
      <c r="J13" s="231"/>
      <c r="K13" s="239"/>
      <c r="L13" s="231"/>
      <c r="M13" s="233"/>
      <c r="N13" s="234"/>
      <c r="O13" s="235"/>
      <c r="P13" s="638"/>
      <c r="Q13" s="639"/>
      <c r="R13" s="622"/>
      <c r="S13">
        <f>'t1'!N13</f>
        <v>4</v>
      </c>
      <c r="T13"/>
    </row>
    <row r="14" spans="1:20" ht="12.75" customHeight="1">
      <c r="A14" s="24" t="str">
        <f>'t1'!A14</f>
        <v>COADIUTORE (A)</v>
      </c>
      <c r="B14" s="290" t="str">
        <f>'t1'!B14</f>
        <v>011121</v>
      </c>
      <c r="C14" s="230"/>
      <c r="D14" s="231"/>
      <c r="E14" s="232"/>
      <c r="F14" s="545"/>
      <c r="G14" s="239"/>
      <c r="H14" s="231"/>
      <c r="I14" s="239"/>
      <c r="J14" s="231"/>
      <c r="K14" s="239"/>
      <c r="L14" s="231"/>
      <c r="M14" s="233"/>
      <c r="N14" s="234"/>
      <c r="O14" s="235"/>
      <c r="P14" s="638"/>
      <c r="Q14" s="639"/>
      <c r="R14" s="622"/>
      <c r="S14">
        <f>'t1'!N14</f>
        <v>6</v>
      </c>
      <c r="T14"/>
    </row>
    <row r="15" spans="1:20" ht="12.75" customHeight="1">
      <c r="A15" s="24" t="str">
        <f>'t1'!A15</f>
        <v>PROFESSORI DI PRIMA FASCIA TEMPO DET.ANNUALE</v>
      </c>
      <c r="B15" s="290" t="str">
        <f>'t1'!B15</f>
        <v>018PD1</v>
      </c>
      <c r="C15" s="230"/>
      <c r="D15" s="231"/>
      <c r="E15" s="232"/>
      <c r="F15" s="545"/>
      <c r="G15" s="239"/>
      <c r="H15" s="231"/>
      <c r="I15" s="239"/>
      <c r="J15" s="231"/>
      <c r="K15" s="239"/>
      <c r="L15" s="231"/>
      <c r="M15" s="233"/>
      <c r="N15" s="234"/>
      <c r="O15" s="235"/>
      <c r="P15" s="638"/>
      <c r="Q15" s="639"/>
      <c r="R15" s="622"/>
      <c r="S15">
        <f>'t1'!N15</f>
        <v>22</v>
      </c>
      <c r="T15"/>
    </row>
    <row r="16" spans="1:20" ht="12.75" customHeight="1">
      <c r="A16" s="24" t="str">
        <f>'t1'!A16</f>
        <v>PROFESSORI DI SECONDA FASCIA TEMPO DET.ANNUALE</v>
      </c>
      <c r="B16" s="290" t="str">
        <f>'t1'!B16</f>
        <v>016PD2</v>
      </c>
      <c r="C16" s="230"/>
      <c r="D16" s="231"/>
      <c r="E16" s="232"/>
      <c r="F16" s="545"/>
      <c r="G16" s="239"/>
      <c r="H16" s="231"/>
      <c r="I16" s="239"/>
      <c r="J16" s="231"/>
      <c r="K16" s="239"/>
      <c r="L16" s="231"/>
      <c r="M16" s="233"/>
      <c r="N16" s="234"/>
      <c r="O16" s="235"/>
      <c r="P16" s="638"/>
      <c r="Q16" s="639"/>
      <c r="R16" s="622"/>
      <c r="S16">
        <f>'t1'!N16</f>
        <v>6</v>
      </c>
      <c r="T16"/>
    </row>
    <row r="17" spans="1:20" ht="12.75" customHeight="1">
      <c r="A17" s="24" t="str">
        <f>'t1'!A17</f>
        <v>PROFESSORI DI PRIMA FASCIA T. DET. TERMINE ATTIV DIDATT</v>
      </c>
      <c r="B17" s="290" t="str">
        <f>'t1'!B17</f>
        <v>018DD1</v>
      </c>
      <c r="C17" s="230"/>
      <c r="D17" s="231"/>
      <c r="E17" s="232"/>
      <c r="F17" s="545"/>
      <c r="G17" s="239"/>
      <c r="H17" s="231"/>
      <c r="I17" s="239"/>
      <c r="J17" s="231"/>
      <c r="K17" s="239"/>
      <c r="L17" s="231"/>
      <c r="M17" s="233"/>
      <c r="N17" s="234"/>
      <c r="O17" s="235"/>
      <c r="P17" s="638"/>
      <c r="Q17" s="639"/>
      <c r="R17" s="622"/>
      <c r="S17">
        <f>'t1'!N17</f>
        <v>0</v>
      </c>
      <c r="T17"/>
    </row>
    <row r="18" spans="1:20" ht="12.75" customHeight="1">
      <c r="A18" s="24" t="str">
        <f>'t1'!A18</f>
        <v>PROFESSORI DI SECONDA FASCIA T. DET. TERMINE ATTIV DIDATT</v>
      </c>
      <c r="B18" s="290" t="str">
        <f>'t1'!B18</f>
        <v>016DD2</v>
      </c>
      <c r="C18" s="230"/>
      <c r="D18" s="231"/>
      <c r="E18" s="232"/>
      <c r="F18" s="545"/>
      <c r="G18" s="239"/>
      <c r="H18" s="231"/>
      <c r="I18" s="239"/>
      <c r="J18" s="231"/>
      <c r="K18" s="239"/>
      <c r="L18" s="231"/>
      <c r="M18" s="233"/>
      <c r="N18" s="234"/>
      <c r="O18" s="235"/>
      <c r="P18" s="638"/>
      <c r="Q18" s="639"/>
      <c r="R18" s="622"/>
      <c r="S18">
        <f>'t1'!N18</f>
        <v>0</v>
      </c>
      <c r="T18"/>
    </row>
    <row r="19" spans="1:20" ht="12.75" customHeight="1">
      <c r="A19" s="24" t="str">
        <f>'t1'!A19</f>
        <v>DIRETTORE AMMINISTRATIVO TEMPO DET.ANNUALE (EP2)</v>
      </c>
      <c r="B19" s="290" t="str">
        <f>'t1'!B19</f>
        <v>013EP2</v>
      </c>
      <c r="C19" s="230"/>
      <c r="D19" s="231"/>
      <c r="E19" s="232"/>
      <c r="F19" s="545"/>
      <c r="G19" s="239"/>
      <c r="H19" s="231"/>
      <c r="I19" s="239"/>
      <c r="J19" s="231"/>
      <c r="K19" s="239"/>
      <c r="L19" s="231"/>
      <c r="M19" s="233"/>
      <c r="N19" s="234"/>
      <c r="O19" s="235"/>
      <c r="P19" s="638"/>
      <c r="Q19" s="639"/>
      <c r="R19" s="622"/>
      <c r="S19">
        <f>'t1'!N19</f>
        <v>0</v>
      </c>
      <c r="T19"/>
    </row>
    <row r="20" spans="1:20" ht="12.75" customHeight="1">
      <c r="A20" s="24" t="str">
        <f>'t1'!A20</f>
        <v>DIRETTORE DELL UFFICIO DI RAGIONERIA TEMPO DET.ANNUALE (EP1)</v>
      </c>
      <c r="B20" s="290" t="str">
        <f>'t1'!B20</f>
        <v>013160</v>
      </c>
      <c r="C20" s="230"/>
      <c r="D20" s="231"/>
      <c r="E20" s="232"/>
      <c r="F20" s="545"/>
      <c r="G20" s="239"/>
      <c r="H20" s="231"/>
      <c r="I20" s="239"/>
      <c r="J20" s="231"/>
      <c r="K20" s="239"/>
      <c r="L20" s="231"/>
      <c r="M20" s="233"/>
      <c r="N20" s="234"/>
      <c r="O20" s="235"/>
      <c r="P20" s="638"/>
      <c r="Q20" s="639"/>
      <c r="R20" s="622"/>
      <c r="S20">
        <f>'t1'!N20</f>
        <v>0</v>
      </c>
      <c r="T20"/>
    </row>
    <row r="21" spans="1:20" ht="12.75" customHeight="1">
      <c r="A21" s="24" t="str">
        <f>'t1'!A21</f>
        <v>DIRETTORE AMMINISTRATIVO T. DET. TERMINE ATTIV DIDATT(EP2)</v>
      </c>
      <c r="B21" s="290" t="str">
        <f>'t1'!B21</f>
        <v>013E2N</v>
      </c>
      <c r="C21" s="230"/>
      <c r="D21" s="231"/>
      <c r="E21" s="232"/>
      <c r="F21" s="545"/>
      <c r="G21" s="239"/>
      <c r="H21" s="231"/>
      <c r="I21" s="239"/>
      <c r="J21" s="231"/>
      <c r="K21" s="239"/>
      <c r="L21" s="231"/>
      <c r="M21" s="233"/>
      <c r="N21" s="234"/>
      <c r="O21" s="235"/>
      <c r="P21" s="638"/>
      <c r="Q21" s="639"/>
      <c r="R21" s="622"/>
      <c r="S21">
        <f>'t1'!N21</f>
        <v>0</v>
      </c>
      <c r="T21"/>
    </row>
    <row r="22" spans="1:20" ht="12.75" customHeight="1">
      <c r="A22" s="24" t="str">
        <f>'t1'!A22</f>
        <v>DIRETTORE UFF. RAGIONERIA T. DET. TERM. ATTIV DIDATT(EP1)</v>
      </c>
      <c r="B22" s="290" t="str">
        <f>'t1'!B22</f>
        <v>013E1N</v>
      </c>
      <c r="C22" s="230"/>
      <c r="D22" s="231"/>
      <c r="E22" s="232"/>
      <c r="F22" s="545"/>
      <c r="G22" s="239"/>
      <c r="H22" s="231"/>
      <c r="I22" s="239"/>
      <c r="J22" s="231"/>
      <c r="K22" s="239"/>
      <c r="L22" s="231"/>
      <c r="M22" s="233"/>
      <c r="N22" s="234"/>
      <c r="O22" s="235"/>
      <c r="P22" s="638"/>
      <c r="Q22" s="639"/>
      <c r="R22" s="622"/>
      <c r="S22">
        <f>'t1'!N22</f>
        <v>0</v>
      </c>
      <c r="T22"/>
    </row>
    <row r="23" spans="1:20" ht="12.75" customHeight="1">
      <c r="A23" s="24" t="str">
        <f>'t1'!A23</f>
        <v>COORD. DI BIBLIOT., COORD. TEC. E AMM. TEMPO DET.ANNUALE</v>
      </c>
      <c r="B23" s="290" t="str">
        <f>'t1'!B23</f>
        <v>013DDE</v>
      </c>
      <c r="C23" s="230"/>
      <c r="D23" s="231"/>
      <c r="E23" s="232"/>
      <c r="F23" s="545"/>
      <c r="G23" s="239"/>
      <c r="H23" s="231"/>
      <c r="I23" s="239"/>
      <c r="J23" s="231"/>
      <c r="K23" s="239"/>
      <c r="L23" s="231"/>
      <c r="M23" s="233"/>
      <c r="N23" s="234"/>
      <c r="O23" s="235"/>
      <c r="P23" s="638"/>
      <c r="Q23" s="639"/>
      <c r="R23" s="622"/>
      <c r="S23">
        <f>'t1'!N23</f>
        <v>0</v>
      </c>
      <c r="T23"/>
    </row>
    <row r="24" spans="1:20" ht="12.75" customHeight="1">
      <c r="A24" s="24" t="str">
        <f>'t1'!A24</f>
        <v>COLLAB. TEC. AMMIN. DI BIBLIOT. E DI LAB. TEMPO DET.ANNUALE</v>
      </c>
      <c r="B24" s="290" t="str">
        <f>'t1'!B24</f>
        <v>013CDE</v>
      </c>
      <c r="C24" s="230"/>
      <c r="D24" s="231"/>
      <c r="E24" s="232"/>
      <c r="F24" s="545"/>
      <c r="G24" s="239"/>
      <c r="H24" s="231"/>
      <c r="I24" s="239"/>
      <c r="J24" s="231"/>
      <c r="K24" s="239"/>
      <c r="L24" s="231"/>
      <c r="M24" s="233"/>
      <c r="N24" s="234"/>
      <c r="O24" s="235"/>
      <c r="P24" s="638"/>
      <c r="Q24" s="639"/>
      <c r="R24" s="622"/>
      <c r="S24">
        <f>'t1'!N24</f>
        <v>0</v>
      </c>
      <c r="T24"/>
    </row>
    <row r="25" spans="1:20" ht="12.75" customHeight="1">
      <c r="A25" s="24" t="str">
        <f>'t1'!A25</f>
        <v>ASSIST. AMMINISTRATIVO TEMPO DET.ANNUALE</v>
      </c>
      <c r="B25" s="290" t="str">
        <f>'t1'!B25</f>
        <v>012118</v>
      </c>
      <c r="C25" s="230"/>
      <c r="D25" s="231"/>
      <c r="E25" s="232"/>
      <c r="F25" s="545"/>
      <c r="G25" s="239"/>
      <c r="H25" s="231"/>
      <c r="I25" s="239"/>
      <c r="J25" s="231"/>
      <c r="K25" s="239"/>
      <c r="L25" s="231"/>
      <c r="M25" s="233"/>
      <c r="N25" s="234"/>
      <c r="O25" s="235"/>
      <c r="P25" s="638"/>
      <c r="Q25" s="639"/>
      <c r="R25" s="622"/>
      <c r="S25">
        <f>'t1'!N25</f>
        <v>1</v>
      </c>
      <c r="T25"/>
    </row>
    <row r="26" spans="1:20" ht="12.75" customHeight="1">
      <c r="A26" s="24" t="str">
        <f>'t1'!A26</f>
        <v>COADIUTORE TEMPO DET.ANNUALE</v>
      </c>
      <c r="B26" s="290" t="str">
        <f>'t1'!B26</f>
        <v>011124</v>
      </c>
      <c r="C26" s="230"/>
      <c r="D26" s="231"/>
      <c r="E26" s="232"/>
      <c r="F26" s="545"/>
      <c r="G26" s="239"/>
      <c r="H26" s="231"/>
      <c r="I26" s="239"/>
      <c r="J26" s="231"/>
      <c r="K26" s="239"/>
      <c r="L26" s="231"/>
      <c r="M26" s="233"/>
      <c r="N26" s="234"/>
      <c r="O26" s="235"/>
      <c r="P26" s="638"/>
      <c r="Q26" s="639"/>
      <c r="R26" s="622"/>
      <c r="S26">
        <f>'t1'!N26</f>
        <v>4</v>
      </c>
      <c r="T26"/>
    </row>
    <row r="27" spans="1:20" ht="12.75" customHeight="1">
      <c r="A27" s="24" t="str">
        <f>'t1'!A27</f>
        <v>COORD. BIBL., COORD. TEC. E AMM. T. DET. TERM. ATTIV DIDATT</v>
      </c>
      <c r="B27" s="290" t="str">
        <f>'t1'!B27</f>
        <v>013DDN</v>
      </c>
      <c r="C27" s="230"/>
      <c r="D27" s="231"/>
      <c r="E27" s="232"/>
      <c r="F27" s="545"/>
      <c r="G27" s="239"/>
      <c r="H27" s="231"/>
      <c r="I27" s="239"/>
      <c r="J27" s="231"/>
      <c r="K27" s="239"/>
      <c r="L27" s="231"/>
      <c r="M27" s="233"/>
      <c r="N27" s="234"/>
      <c r="O27" s="235"/>
      <c r="P27" s="638"/>
      <c r="Q27" s="639"/>
      <c r="R27" s="622"/>
      <c r="S27">
        <f>'t1'!N27</f>
        <v>0</v>
      </c>
      <c r="T27"/>
    </row>
    <row r="28" spans="1:20" ht="12.75" customHeight="1">
      <c r="A28" s="24" t="str">
        <f>'t1'!A28</f>
        <v>COLLAB. TEC. AMM. BIBL. E DI LAB. T. D. TERM. ATTIV DIDATT</v>
      </c>
      <c r="B28" s="290" t="str">
        <f>'t1'!B28</f>
        <v>013CDN</v>
      </c>
      <c r="C28" s="230"/>
      <c r="D28" s="231"/>
      <c r="E28" s="232"/>
      <c r="F28" s="545"/>
      <c r="G28" s="239"/>
      <c r="H28" s="231"/>
      <c r="I28" s="239"/>
      <c r="J28" s="231"/>
      <c r="K28" s="239"/>
      <c r="L28" s="231"/>
      <c r="M28" s="233"/>
      <c r="N28" s="234"/>
      <c r="O28" s="235"/>
      <c r="P28" s="638"/>
      <c r="Q28" s="639"/>
      <c r="R28" s="622"/>
      <c r="S28">
        <f>'t1'!N28</f>
        <v>0</v>
      </c>
      <c r="T28"/>
    </row>
    <row r="29" spans="1:20" ht="12.75" customHeight="1">
      <c r="A29" s="24" t="str">
        <f>'t1'!A29</f>
        <v>ASSISTENTE AMMINISTRATIVO TEM.DET. TERMINE ATTIV DIDATT</v>
      </c>
      <c r="B29" s="290" t="str">
        <f>'t1'!B29</f>
        <v>016509</v>
      </c>
      <c r="C29" s="230"/>
      <c r="D29" s="231"/>
      <c r="E29" s="232"/>
      <c r="F29" s="545"/>
      <c r="G29" s="239"/>
      <c r="H29" s="231"/>
      <c r="I29" s="239"/>
      <c r="J29" s="231"/>
      <c r="K29" s="239"/>
      <c r="L29" s="231"/>
      <c r="M29" s="233"/>
      <c r="N29" s="234"/>
      <c r="O29" s="235"/>
      <c r="P29" s="638"/>
      <c r="Q29" s="639"/>
      <c r="R29" s="622"/>
      <c r="S29">
        <f>'t1'!N29</f>
        <v>0</v>
      </c>
      <c r="T29"/>
    </row>
    <row r="30" spans="1:20" ht="12.75" customHeight="1" thickBot="1">
      <c r="A30" s="24" t="str">
        <f>'t1'!A30</f>
        <v>COADIUTORE TEMPO DET. TERMINE ATTIV DIDATT</v>
      </c>
      <c r="B30" s="290" t="str">
        <f>'t1'!B30</f>
        <v>011CNA</v>
      </c>
      <c r="C30" s="230"/>
      <c r="D30" s="231"/>
      <c r="E30" s="232"/>
      <c r="F30" s="545"/>
      <c r="G30" s="239"/>
      <c r="H30" s="231"/>
      <c r="I30" s="239"/>
      <c r="J30" s="231"/>
      <c r="K30" s="239"/>
      <c r="L30" s="231"/>
      <c r="M30" s="233"/>
      <c r="N30" s="234"/>
      <c r="O30" s="235"/>
      <c r="P30" s="638"/>
      <c r="Q30" s="639"/>
      <c r="R30" s="622"/>
      <c r="S30">
        <f>'t1'!N30</f>
        <v>0</v>
      </c>
      <c r="T30"/>
    </row>
    <row r="31" spans="1:20" ht="15.75" customHeight="1" thickBot="1" thickTop="1">
      <c r="A31" s="96" t="s">
        <v>82</v>
      </c>
      <c r="B31" s="168"/>
      <c r="C31" s="446">
        <f aca="true" t="shared" si="0" ref="C31:R31">SUM(C6:C30)</f>
        <v>0</v>
      </c>
      <c r="D31" s="447">
        <f t="shared" si="0"/>
        <v>0</v>
      </c>
      <c r="E31" s="448">
        <f t="shared" si="0"/>
        <v>0</v>
      </c>
      <c r="F31" s="546">
        <f t="shared" si="0"/>
        <v>0</v>
      </c>
      <c r="G31" s="448">
        <f t="shared" si="0"/>
        <v>0</v>
      </c>
      <c r="H31" s="544">
        <f t="shared" si="0"/>
        <v>0</v>
      </c>
      <c r="I31" s="448">
        <f t="shared" si="0"/>
        <v>0</v>
      </c>
      <c r="J31" s="544">
        <f t="shared" si="0"/>
        <v>0</v>
      </c>
      <c r="K31" s="448">
        <f t="shared" si="0"/>
        <v>0</v>
      </c>
      <c r="L31" s="544">
        <f t="shared" si="0"/>
        <v>0</v>
      </c>
      <c r="M31" s="446">
        <f t="shared" si="0"/>
        <v>0</v>
      </c>
      <c r="N31" s="447">
        <f t="shared" si="0"/>
        <v>0</v>
      </c>
      <c r="O31" s="448">
        <f t="shared" si="0"/>
        <v>0</v>
      </c>
      <c r="P31" s="447">
        <f t="shared" si="0"/>
        <v>0</v>
      </c>
      <c r="Q31" s="640">
        <f t="shared" si="0"/>
        <v>0</v>
      </c>
      <c r="R31" s="560">
        <f t="shared" si="0"/>
        <v>0</v>
      </c>
      <c r="S31"/>
      <c r="T31"/>
    </row>
    <row r="32" spans="1:16" ht="11.25">
      <c r="A32" s="26"/>
      <c r="B32" s="169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24" ht="11.25">
      <c r="A33" s="26">
        <f>'t1'!$A$33</f>
      </c>
      <c r="B33" s="169"/>
      <c r="C33" s="5"/>
      <c r="D33" s="17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S33" s="5"/>
      <c r="T33" s="5"/>
      <c r="U33" s="5"/>
      <c r="V33" s="5"/>
      <c r="W33" s="5"/>
      <c r="X33" s="5"/>
    </row>
    <row r="34" spans="1:2" s="5" customFormat="1" ht="11.25">
      <c r="A34" s="26"/>
      <c r="B34" s="7"/>
    </row>
    <row r="35" spans="1:2" ht="11.25">
      <c r="A35" s="26" t="s">
        <v>253</v>
      </c>
      <c r="B35" s="170"/>
    </row>
    <row r="36" ht="11.25">
      <c r="A36" s="79" t="s">
        <v>150</v>
      </c>
    </row>
  </sheetData>
  <sheetProtection password="EA98" sheet="1" formatColumns="0" selectLockedCells="1"/>
  <mergeCells count="8">
    <mergeCell ref="A1:N1"/>
    <mergeCell ref="F2:P2"/>
    <mergeCell ref="E4:F4"/>
    <mergeCell ref="G4:H4"/>
    <mergeCell ref="M3:R3"/>
    <mergeCell ref="I4:J4"/>
    <mergeCell ref="K4:L4"/>
    <mergeCell ref="A3:A4"/>
  </mergeCells>
  <conditionalFormatting sqref="A6:L30">
    <cfRule type="expression" priority="1" dxfId="3" stopIfTrue="1">
      <formula>$S6&gt;0</formula>
    </cfRule>
  </conditionalFormatting>
  <printOptions horizontalCentered="1" verticalCentered="1"/>
  <pageMargins left="0" right="0" top="0.1968503937007874" bottom="0.15748031496062992" header="0.1968503937007874" footer="0.1968503937007874"/>
  <pageSetup horizontalDpi="300" verticalDpi="3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1"/>
  <dimension ref="A1:AD42"/>
  <sheetViews>
    <sheetView showGridLines="0" zoomScalePageLayoutView="0" workbookViewId="0" topLeftCell="A1">
      <pane xSplit="2" ySplit="5" topLeftCell="C12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C6" sqref="C6"/>
    </sheetView>
  </sheetViews>
  <sheetFormatPr defaultColWidth="9.33203125" defaultRowHeight="10.5"/>
  <cols>
    <col min="1" max="1" width="57.83203125" style="5" customWidth="1"/>
    <col min="2" max="2" width="9.16015625" style="7" customWidth="1"/>
    <col min="3" max="4" width="4" style="7" customWidth="1"/>
    <col min="5" max="27" width="4" style="5" customWidth="1"/>
    <col min="28" max="28" width="12" style="5" customWidth="1"/>
    <col min="29" max="51" width="3.83203125" style="5" customWidth="1"/>
    <col min="52" max="16384" width="9.33203125" style="5" customWidth="1"/>
  </cols>
  <sheetData>
    <row r="1" spans="1:28" ht="43.5" customHeight="1">
      <c r="A1" s="1155" t="str">
        <f>'t1'!A1</f>
        <v>COMPARTO AFAM - anno 2016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  <c r="P1" s="1155"/>
      <c r="Q1" s="1155"/>
      <c r="R1" s="1155"/>
      <c r="S1" s="1155"/>
      <c r="T1" s="1155"/>
      <c r="U1" s="1155"/>
      <c r="V1" s="1155"/>
      <c r="W1" s="1155"/>
      <c r="X1" s="1155"/>
      <c r="Y1" s="1155"/>
      <c r="Z1" s="1155"/>
      <c r="AA1" s="1155"/>
      <c r="AB1" s="320"/>
    </row>
    <row r="2" spans="1:28" ht="30" customHeight="1" thickBot="1">
      <c r="A2" s="1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01"/>
    </row>
    <row r="3" spans="1:28" ht="13.5" thickBot="1">
      <c r="A3" s="312"/>
      <c r="B3" s="13"/>
      <c r="C3" s="1168" t="s">
        <v>77</v>
      </c>
      <c r="D3" s="1168"/>
      <c r="E3" s="1168"/>
      <c r="F3" s="1168"/>
      <c r="G3" s="1168"/>
      <c r="H3" s="1168"/>
      <c r="I3" s="1168"/>
      <c r="J3" s="1168"/>
      <c r="K3" s="1168"/>
      <c r="L3" s="1168"/>
      <c r="M3" s="1168"/>
      <c r="N3" s="1168"/>
      <c r="O3" s="1168"/>
      <c r="P3" s="1168"/>
      <c r="Q3" s="1168"/>
      <c r="R3" s="1168"/>
      <c r="S3" s="1168"/>
      <c r="T3" s="1168"/>
      <c r="U3" s="1168"/>
      <c r="V3" s="1168"/>
      <c r="W3" s="1168"/>
      <c r="X3" s="1168"/>
      <c r="Y3" s="1168"/>
      <c r="Z3" s="1168"/>
      <c r="AA3" s="1168"/>
      <c r="AB3" s="228"/>
    </row>
    <row r="4" spans="1:28" s="100" customFormat="1" ht="16.5" customHeight="1" thickTop="1">
      <c r="A4" s="315"/>
      <c r="B4" s="313"/>
      <c r="C4" s="1166" t="s">
        <v>188</v>
      </c>
      <c r="D4" s="1167"/>
      <c r="E4" s="1167"/>
      <c r="F4" s="1167"/>
      <c r="G4" s="1167"/>
      <c r="H4" s="1167"/>
      <c r="I4" s="1167"/>
      <c r="J4" s="1167"/>
      <c r="K4" s="1167"/>
      <c r="L4" s="1167"/>
      <c r="M4" s="1167"/>
      <c r="N4" s="1167"/>
      <c r="O4" s="1167"/>
      <c r="P4" s="1167"/>
      <c r="Q4" s="1167"/>
      <c r="R4" s="1167"/>
      <c r="S4" s="1167"/>
      <c r="T4" s="1167"/>
      <c r="U4" s="1167"/>
      <c r="V4" s="1167"/>
      <c r="W4" s="1167"/>
      <c r="X4" s="1167"/>
      <c r="Y4" s="1167"/>
      <c r="Z4" s="1167"/>
      <c r="AA4" s="1167"/>
      <c r="AB4" s="317"/>
    </row>
    <row r="5" spans="1:28" ht="63.75" customHeight="1" thickBot="1">
      <c r="A5" s="311" t="s">
        <v>265</v>
      </c>
      <c r="B5" s="314" t="s">
        <v>266</v>
      </c>
      <c r="C5" s="250" t="str">
        <f>B6</f>
        <v>0D0158</v>
      </c>
      <c r="D5" s="251" t="str">
        <f>B7</f>
        <v>018P01</v>
      </c>
      <c r="E5" s="251" t="str">
        <f>B8</f>
        <v>016P02</v>
      </c>
      <c r="F5" s="251" t="str">
        <f>B9</f>
        <v>013504</v>
      </c>
      <c r="G5" s="251" t="str">
        <f>B10</f>
        <v>013159</v>
      </c>
      <c r="H5" s="251" t="str">
        <f>B11</f>
        <v>013DTE</v>
      </c>
      <c r="I5" s="251" t="str">
        <f>B12</f>
        <v>013CTE</v>
      </c>
      <c r="J5" s="251" t="str">
        <f>B13</f>
        <v>012117</v>
      </c>
      <c r="K5" s="252" t="str">
        <f>B14</f>
        <v>011121</v>
      </c>
      <c r="L5" s="252" t="str">
        <f>B15</f>
        <v>018PD1</v>
      </c>
      <c r="M5" s="251" t="str">
        <f>B16</f>
        <v>016PD2</v>
      </c>
      <c r="N5" s="251" t="str">
        <f>B17</f>
        <v>018DD1</v>
      </c>
      <c r="O5" s="251" t="str">
        <f>B18</f>
        <v>016DD2</v>
      </c>
      <c r="P5" s="251" t="str">
        <f>B19</f>
        <v>013EP2</v>
      </c>
      <c r="Q5" s="251" t="str">
        <f>B20</f>
        <v>013160</v>
      </c>
      <c r="R5" s="251" t="str">
        <f>B21</f>
        <v>013E2N</v>
      </c>
      <c r="S5" s="251" t="str">
        <f>B22</f>
        <v>013E1N</v>
      </c>
      <c r="T5" s="251" t="str">
        <f>B23</f>
        <v>013DDE</v>
      </c>
      <c r="U5" s="252" t="str">
        <f>B24</f>
        <v>013CDE</v>
      </c>
      <c r="V5" s="251" t="str">
        <f>B25</f>
        <v>012118</v>
      </c>
      <c r="W5" s="251" t="str">
        <f>B26</f>
        <v>011124</v>
      </c>
      <c r="X5" s="251" t="str">
        <f>B27</f>
        <v>013DDN</v>
      </c>
      <c r="Y5" s="251" t="str">
        <f>B28</f>
        <v>013CDN</v>
      </c>
      <c r="Z5" s="252" t="str">
        <f>B29</f>
        <v>016509</v>
      </c>
      <c r="AA5" s="252" t="str">
        <f>B30</f>
        <v>011CNA</v>
      </c>
      <c r="AB5" s="318" t="s">
        <v>145</v>
      </c>
    </row>
    <row r="6" spans="1:28" ht="12" customHeight="1" thickTop="1">
      <c r="A6" s="24" t="str">
        <f>'t1'!A6</f>
        <v>DIRIGENTE SCOLASTICO</v>
      </c>
      <c r="B6" s="154" t="str">
        <f>'t1'!B6</f>
        <v>0D0158</v>
      </c>
      <c r="C6" s="253"/>
      <c r="D6" s="253"/>
      <c r="E6" s="254"/>
      <c r="F6" s="254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449">
        <f aca="true" t="shared" si="0" ref="AB6:AB30">SUM(C6:AA6)</f>
        <v>0</v>
      </c>
    </row>
    <row r="7" spans="1:28" ht="12" customHeight="1">
      <c r="A7" s="155" t="str">
        <f>'t1'!A7</f>
        <v>PROFESSORI DI PRIMA FASCIA</v>
      </c>
      <c r="B7" s="229" t="str">
        <f>'t1'!B7</f>
        <v>018P01</v>
      </c>
      <c r="C7" s="254"/>
      <c r="D7" s="254"/>
      <c r="E7" s="254"/>
      <c r="F7" s="254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449">
        <f t="shared" si="0"/>
        <v>0</v>
      </c>
    </row>
    <row r="8" spans="1:28" ht="12" customHeight="1">
      <c r="A8" s="155" t="str">
        <f>'t1'!A8</f>
        <v>PROFESSORI DI SECONDA FASCIA</v>
      </c>
      <c r="B8" s="229" t="str">
        <f>'t1'!B8</f>
        <v>016P02</v>
      </c>
      <c r="C8" s="254"/>
      <c r="D8" s="254"/>
      <c r="E8" s="254"/>
      <c r="F8" s="254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449">
        <f t="shared" si="0"/>
        <v>0</v>
      </c>
    </row>
    <row r="9" spans="1:28" ht="12" customHeight="1">
      <c r="A9" s="155" t="str">
        <f>'t1'!A9</f>
        <v>DIRETTORE AMMINISTRATIVO EP2</v>
      </c>
      <c r="B9" s="229" t="str">
        <f>'t1'!B9</f>
        <v>013504</v>
      </c>
      <c r="C9" s="257"/>
      <c r="D9" s="258"/>
      <c r="E9" s="254"/>
      <c r="F9" s="254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449">
        <f t="shared" si="0"/>
        <v>0</v>
      </c>
    </row>
    <row r="10" spans="1:28" ht="12" customHeight="1">
      <c r="A10" s="155" t="str">
        <f>'t1'!A10</f>
        <v>DIRETTORE DELL UFFICIO DI RAGIONERIA (EP1)</v>
      </c>
      <c r="B10" s="229" t="str">
        <f>'t1'!B10</f>
        <v>013159</v>
      </c>
      <c r="C10" s="257"/>
      <c r="D10" s="258"/>
      <c r="E10" s="254"/>
      <c r="F10" s="254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449">
        <f t="shared" si="0"/>
        <v>0</v>
      </c>
    </row>
    <row r="11" spans="1:28" ht="12" customHeight="1">
      <c r="A11" s="155" t="str">
        <f>'t1'!A11</f>
        <v>COORDINATORE DI BIBLIOTECA TECNICO E AMMINISTRATIVO(D)</v>
      </c>
      <c r="B11" s="229" t="str">
        <f>'t1'!B11</f>
        <v>013DTE</v>
      </c>
      <c r="C11" s="254"/>
      <c r="D11" s="254"/>
      <c r="E11" s="254"/>
      <c r="F11" s="254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449">
        <f t="shared" si="0"/>
        <v>0</v>
      </c>
    </row>
    <row r="12" spans="1:28" ht="12" customHeight="1">
      <c r="A12" s="155" t="str">
        <f>'t1'!A12</f>
        <v>COLLABORATORE TEC. AMMIN. DI BIBLIOT. E DI LAB. (C)</v>
      </c>
      <c r="B12" s="229" t="str">
        <f>'t1'!B12</f>
        <v>013CTE</v>
      </c>
      <c r="C12" s="259"/>
      <c r="D12" s="259"/>
      <c r="E12" s="259"/>
      <c r="F12" s="259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449">
        <f t="shared" si="0"/>
        <v>0</v>
      </c>
    </row>
    <row r="13" spans="1:28" ht="12" customHeight="1">
      <c r="A13" s="155" t="str">
        <f>'t1'!A13</f>
        <v>ASSISTENTE AMMINISTRATIVO (B)</v>
      </c>
      <c r="B13" s="229" t="str">
        <f>'t1'!B13</f>
        <v>012117</v>
      </c>
      <c r="C13" s="259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449">
        <f t="shared" si="0"/>
        <v>0</v>
      </c>
    </row>
    <row r="14" spans="1:28" ht="12" customHeight="1">
      <c r="A14" s="155" t="str">
        <f>'t1'!A14</f>
        <v>COADIUTORE (A)</v>
      </c>
      <c r="B14" s="229" t="str">
        <f>'t1'!B14</f>
        <v>011121</v>
      </c>
      <c r="C14" s="259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449">
        <f t="shared" si="0"/>
        <v>0</v>
      </c>
    </row>
    <row r="15" spans="1:28" ht="12" customHeight="1">
      <c r="A15" s="155" t="str">
        <f>'t1'!A15</f>
        <v>PROFESSORI DI PRIMA FASCIA TEMPO DET.ANNUALE</v>
      </c>
      <c r="B15" s="229" t="str">
        <f>'t1'!B15</f>
        <v>018PD1</v>
      </c>
      <c r="C15" s="259"/>
      <c r="D15" s="254"/>
      <c r="E15" s="254"/>
      <c r="F15" s="254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449">
        <f t="shared" si="0"/>
        <v>0</v>
      </c>
    </row>
    <row r="16" spans="1:28" ht="12" customHeight="1">
      <c r="A16" s="155" t="str">
        <f>'t1'!A16</f>
        <v>PROFESSORI DI SECONDA FASCIA TEMPO DET.ANNUALE</v>
      </c>
      <c r="B16" s="229" t="str">
        <f>'t1'!B16</f>
        <v>016PD2</v>
      </c>
      <c r="C16" s="259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449">
        <f t="shared" si="0"/>
        <v>0</v>
      </c>
    </row>
    <row r="17" spans="1:28" ht="12" customHeight="1">
      <c r="A17" s="155" t="str">
        <f>'t1'!A17</f>
        <v>PROFESSORI DI PRIMA FASCIA T. DET. TERMINE ATTIV DIDATT</v>
      </c>
      <c r="B17" s="229" t="str">
        <f>'t1'!B17</f>
        <v>018DD1</v>
      </c>
      <c r="C17" s="259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449">
        <f t="shared" si="0"/>
        <v>0</v>
      </c>
    </row>
    <row r="18" spans="1:28" ht="12" customHeight="1">
      <c r="A18" s="155" t="str">
        <f>'t1'!A18</f>
        <v>PROFESSORI DI SECONDA FASCIA T. DET. TERMINE ATTIV DIDATT</v>
      </c>
      <c r="B18" s="229" t="str">
        <f>'t1'!B18</f>
        <v>016DD2</v>
      </c>
      <c r="C18" s="259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449">
        <f t="shared" si="0"/>
        <v>0</v>
      </c>
    </row>
    <row r="19" spans="1:28" ht="12" customHeight="1">
      <c r="A19" s="155" t="str">
        <f>'t1'!A19</f>
        <v>DIRETTORE AMMINISTRATIVO TEMPO DET.ANNUALE (EP2)</v>
      </c>
      <c r="B19" s="229" t="str">
        <f>'t1'!B19</f>
        <v>013EP2</v>
      </c>
      <c r="C19" s="259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449">
        <f t="shared" si="0"/>
        <v>0</v>
      </c>
    </row>
    <row r="20" spans="1:28" ht="12" customHeight="1">
      <c r="A20" s="155" t="str">
        <f>'t1'!A20</f>
        <v>DIRETTORE DELL UFFICIO DI RAGIONERIA TEMPO DET.ANNUALE (EP1)</v>
      </c>
      <c r="B20" s="229" t="str">
        <f>'t1'!B20</f>
        <v>013160</v>
      </c>
      <c r="C20" s="259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449">
        <f t="shared" si="0"/>
        <v>0</v>
      </c>
    </row>
    <row r="21" spans="1:28" ht="12" customHeight="1">
      <c r="A21" s="155" t="str">
        <f>'t1'!A21</f>
        <v>DIRETTORE AMMINISTRATIVO T. DET. TERMINE ATTIV DIDATT(EP2)</v>
      </c>
      <c r="B21" s="229" t="str">
        <f>'t1'!B21</f>
        <v>013E2N</v>
      </c>
      <c r="C21" s="259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449">
        <f t="shared" si="0"/>
        <v>0</v>
      </c>
    </row>
    <row r="22" spans="1:28" ht="12" customHeight="1">
      <c r="A22" s="155" t="str">
        <f>'t1'!A22</f>
        <v>DIRETTORE UFF. RAGIONERIA T. DET. TERM. ATTIV DIDATT(EP1)</v>
      </c>
      <c r="B22" s="229" t="str">
        <f>'t1'!B22</f>
        <v>013E1N</v>
      </c>
      <c r="C22" s="259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449">
        <f t="shared" si="0"/>
        <v>0</v>
      </c>
    </row>
    <row r="23" spans="1:28" ht="12" customHeight="1">
      <c r="A23" s="155" t="str">
        <f>'t1'!A23</f>
        <v>COORD. DI BIBLIOT., COORD. TEC. E AMM. TEMPO DET.ANNUALE</v>
      </c>
      <c r="B23" s="229" t="str">
        <f>'t1'!B23</f>
        <v>013DDE</v>
      </c>
      <c r="C23" s="259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449">
        <f t="shared" si="0"/>
        <v>0</v>
      </c>
    </row>
    <row r="24" spans="1:28" ht="12" customHeight="1">
      <c r="A24" s="155" t="str">
        <f>'t1'!A24</f>
        <v>COLLAB. TEC. AMMIN. DI BIBLIOT. E DI LAB. TEMPO DET.ANNUALE</v>
      </c>
      <c r="B24" s="229" t="str">
        <f>'t1'!B24</f>
        <v>013CDE</v>
      </c>
      <c r="C24" s="259"/>
      <c r="D24" s="254"/>
      <c r="E24" s="254"/>
      <c r="F24" s="254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449">
        <f t="shared" si="0"/>
        <v>0</v>
      </c>
    </row>
    <row r="25" spans="1:28" ht="12" customHeight="1">
      <c r="A25" s="155" t="str">
        <f>'t1'!A25</f>
        <v>ASSIST. AMMINISTRATIVO TEMPO DET.ANNUALE</v>
      </c>
      <c r="B25" s="229" t="str">
        <f>'t1'!B25</f>
        <v>012118</v>
      </c>
      <c r="C25" s="259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449">
        <f t="shared" si="0"/>
        <v>0</v>
      </c>
    </row>
    <row r="26" spans="1:28" ht="12" customHeight="1">
      <c r="A26" s="155" t="str">
        <f>'t1'!A26</f>
        <v>COADIUTORE TEMPO DET.ANNUALE</v>
      </c>
      <c r="B26" s="229" t="str">
        <f>'t1'!B26</f>
        <v>011124</v>
      </c>
      <c r="C26" s="259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449">
        <f t="shared" si="0"/>
        <v>0</v>
      </c>
    </row>
    <row r="27" spans="1:28" ht="12" customHeight="1">
      <c r="A27" s="155" t="str">
        <f>'t1'!A27</f>
        <v>COORD. BIBL., COORD. TEC. E AMM. T. DET. TERM. ATTIV DIDATT</v>
      </c>
      <c r="B27" s="229" t="str">
        <f>'t1'!B27</f>
        <v>013DDN</v>
      </c>
      <c r="C27" s="259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449">
        <f t="shared" si="0"/>
        <v>0</v>
      </c>
    </row>
    <row r="28" spans="1:28" ht="12" customHeight="1">
      <c r="A28" s="155" t="str">
        <f>'t1'!A28</f>
        <v>COLLAB. TEC. AMM. BIBL. E DI LAB. T. D. TERM. ATTIV DIDATT</v>
      </c>
      <c r="B28" s="229" t="str">
        <f>'t1'!B28</f>
        <v>013CDN</v>
      </c>
      <c r="C28" s="259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449">
        <f t="shared" si="0"/>
        <v>0</v>
      </c>
    </row>
    <row r="29" spans="1:28" ht="12" customHeight="1">
      <c r="A29" s="155" t="str">
        <f>'t1'!A29</f>
        <v>ASSISTENTE AMMINISTRATIVO TEM.DET. TERMINE ATTIV DIDATT</v>
      </c>
      <c r="B29" s="229" t="str">
        <f>'t1'!B29</f>
        <v>016509</v>
      </c>
      <c r="C29" s="261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449">
        <f t="shared" si="0"/>
        <v>0</v>
      </c>
    </row>
    <row r="30" spans="1:28" ht="12" customHeight="1" thickBot="1">
      <c r="A30" s="155" t="str">
        <f>'t1'!A30</f>
        <v>COADIUTORE TEMPO DET. TERMINE ATTIV DIDATT</v>
      </c>
      <c r="B30" s="229" t="str">
        <f>'t1'!B30</f>
        <v>011CNA</v>
      </c>
      <c r="C30" s="261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449">
        <f t="shared" si="0"/>
        <v>0</v>
      </c>
    </row>
    <row r="31" spans="1:28" s="102" customFormat="1" ht="17.25" customHeight="1" thickBot="1" thickTop="1">
      <c r="A31" s="226" t="s">
        <v>185</v>
      </c>
      <c r="B31" s="227"/>
      <c r="C31" s="451">
        <f aca="true" t="shared" si="1" ref="C31:AB31">SUM(C6:C30)</f>
        <v>0</v>
      </c>
      <c r="D31" s="452">
        <f t="shared" si="1"/>
        <v>0</v>
      </c>
      <c r="E31" s="452">
        <f t="shared" si="1"/>
        <v>0</v>
      </c>
      <c r="F31" s="452">
        <f t="shared" si="1"/>
        <v>0</v>
      </c>
      <c r="G31" s="452">
        <f t="shared" si="1"/>
        <v>0</v>
      </c>
      <c r="H31" s="452">
        <f t="shared" si="1"/>
        <v>0</v>
      </c>
      <c r="I31" s="452">
        <f t="shared" si="1"/>
        <v>0</v>
      </c>
      <c r="J31" s="452">
        <f t="shared" si="1"/>
        <v>0</v>
      </c>
      <c r="K31" s="452">
        <f t="shared" si="1"/>
        <v>0</v>
      </c>
      <c r="L31" s="452">
        <f t="shared" si="1"/>
        <v>0</v>
      </c>
      <c r="M31" s="452">
        <f t="shared" si="1"/>
        <v>0</v>
      </c>
      <c r="N31" s="452">
        <f t="shared" si="1"/>
        <v>0</v>
      </c>
      <c r="O31" s="452">
        <f t="shared" si="1"/>
        <v>0</v>
      </c>
      <c r="P31" s="452">
        <f t="shared" si="1"/>
        <v>0</v>
      </c>
      <c r="Q31" s="452">
        <f t="shared" si="1"/>
        <v>0</v>
      </c>
      <c r="R31" s="452">
        <f t="shared" si="1"/>
        <v>0</v>
      </c>
      <c r="S31" s="452">
        <f t="shared" si="1"/>
        <v>0</v>
      </c>
      <c r="T31" s="452">
        <f t="shared" si="1"/>
        <v>0</v>
      </c>
      <c r="U31" s="452">
        <f t="shared" si="1"/>
        <v>0</v>
      </c>
      <c r="V31" s="452">
        <f t="shared" si="1"/>
        <v>0</v>
      </c>
      <c r="W31" s="452">
        <f t="shared" si="1"/>
        <v>0</v>
      </c>
      <c r="X31" s="452">
        <f t="shared" si="1"/>
        <v>0</v>
      </c>
      <c r="Y31" s="452">
        <f t="shared" si="1"/>
        <v>0</v>
      </c>
      <c r="Z31" s="452">
        <f t="shared" si="1"/>
        <v>0</v>
      </c>
      <c r="AA31" s="452">
        <f t="shared" si="1"/>
        <v>0</v>
      </c>
      <c r="AB31" s="450">
        <f t="shared" si="1"/>
        <v>0</v>
      </c>
    </row>
    <row r="32" ht="17.25" customHeight="1">
      <c r="A32" s="26">
        <f>'t1'!$A$33</f>
      </c>
    </row>
    <row r="33" ht="11.25">
      <c r="A33" s="26"/>
    </row>
    <row r="42" ht="11.25">
      <c r="AD42" s="164"/>
    </row>
  </sheetData>
  <sheetProtection password="EA98" sheet="1" formatColumns="0" selectLockedCells="1"/>
  <mergeCells count="3">
    <mergeCell ref="C4:AA4"/>
    <mergeCell ref="C3:AA3"/>
    <mergeCell ref="A1:AA1"/>
  </mergeCells>
  <printOptions horizontalCentered="1" verticalCentered="1"/>
  <pageMargins left="0" right="0" top="0.1968503937007874" bottom="0.15748031496062992" header="0.1968503937007874" footer="0.1968503937007874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2"/>
  <dimension ref="A1:Y35"/>
  <sheetViews>
    <sheetView showGridLines="0" zoomScalePageLayoutView="0" workbookViewId="0" topLeftCell="A1">
      <pane xSplit="2" ySplit="6" topLeftCell="H7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I9" sqref="I9"/>
    </sheetView>
  </sheetViews>
  <sheetFormatPr defaultColWidth="10.66015625" defaultRowHeight="10.5"/>
  <cols>
    <col min="1" max="1" width="57.83203125" style="89" customWidth="1"/>
    <col min="2" max="2" width="10.66015625" style="98" customWidth="1"/>
    <col min="3" max="14" width="11.16015625" style="89" customWidth="1"/>
    <col min="15" max="18" width="9.33203125" style="89" customWidth="1"/>
    <col min="19" max="20" width="10.66015625" style="89" customWidth="1"/>
    <col min="21" max="21" width="6.66015625" style="89" customWidth="1"/>
    <col min="22" max="25" width="10.83203125" style="89" customWidth="1"/>
    <col min="26" max="16384" width="10.66015625" style="89" customWidth="1"/>
  </cols>
  <sheetData>
    <row r="1" spans="1:20" s="5" customFormat="1" ht="43.5" customHeight="1">
      <c r="A1" s="1155" t="str">
        <f>'t1'!A1</f>
        <v>COMPARTO AFAM - anno 2016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  <c r="P1" s="1155"/>
      <c r="Q1" s="1155"/>
      <c r="R1" s="1155"/>
      <c r="S1"/>
      <c r="T1" s="320"/>
    </row>
    <row r="2" spans="1:20" s="5" customFormat="1" ht="30" customHeight="1" thickBot="1">
      <c r="A2" s="319"/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3"/>
      <c r="O2" s="1156"/>
      <c r="P2" s="1156"/>
      <c r="Q2" s="1156"/>
      <c r="R2" s="1156"/>
      <c r="S2" s="1156"/>
      <c r="T2" s="1156"/>
    </row>
    <row r="3" spans="1:25" ht="15" customHeight="1" thickBot="1">
      <c r="A3" s="90"/>
      <c r="B3" s="91"/>
      <c r="C3" s="310" t="s">
        <v>260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  <c r="V3"/>
      <c r="W3"/>
      <c r="X3"/>
      <c r="Y3"/>
    </row>
    <row r="4" spans="1:25" ht="30" customHeight="1" thickTop="1">
      <c r="A4" s="286" t="s">
        <v>146</v>
      </c>
      <c r="B4" s="94" t="s">
        <v>78</v>
      </c>
      <c r="C4" s="1169" t="s">
        <v>370</v>
      </c>
      <c r="D4" s="1170"/>
      <c r="E4" s="1169" t="s">
        <v>371</v>
      </c>
      <c r="F4" s="1170"/>
      <c r="G4" s="1169" t="s">
        <v>372</v>
      </c>
      <c r="H4" s="1170"/>
      <c r="I4" s="1169" t="s">
        <v>61</v>
      </c>
      <c r="J4" s="1170"/>
      <c r="K4" s="1169" t="s">
        <v>62</v>
      </c>
      <c r="L4" s="1170"/>
      <c r="M4" s="1169" t="s">
        <v>690</v>
      </c>
      <c r="N4" s="1170"/>
      <c r="O4" s="1169" t="s">
        <v>419</v>
      </c>
      <c r="P4" s="1170"/>
      <c r="Q4" s="1169" t="s">
        <v>107</v>
      </c>
      <c r="R4" s="1170"/>
      <c r="S4" s="1169" t="s">
        <v>82</v>
      </c>
      <c r="T4" s="1173"/>
      <c r="V4"/>
      <c r="W4"/>
      <c r="X4"/>
      <c r="Y4"/>
    </row>
    <row r="5" spans="1:25" ht="11.25">
      <c r="A5" s="667"/>
      <c r="B5" s="94"/>
      <c r="C5" s="1171" t="s">
        <v>375</v>
      </c>
      <c r="D5" s="1172"/>
      <c r="E5" s="1171" t="s">
        <v>376</v>
      </c>
      <c r="F5" s="1172"/>
      <c r="G5" s="1171" t="s">
        <v>377</v>
      </c>
      <c r="H5" s="1172"/>
      <c r="I5" s="1171" t="s">
        <v>378</v>
      </c>
      <c r="J5" s="1172"/>
      <c r="K5" s="1171" t="s">
        <v>379</v>
      </c>
      <c r="L5" s="1172"/>
      <c r="M5" s="1171" t="s">
        <v>613</v>
      </c>
      <c r="N5" s="1172"/>
      <c r="O5" s="1171" t="s">
        <v>418</v>
      </c>
      <c r="P5" s="1172"/>
      <c r="Q5" s="1171" t="s">
        <v>380</v>
      </c>
      <c r="R5" s="1172"/>
      <c r="S5" s="1171"/>
      <c r="T5" s="1174"/>
      <c r="V5"/>
      <c r="W5"/>
      <c r="X5"/>
      <c r="Y5"/>
    </row>
    <row r="6" spans="1:25" ht="12" thickBot="1">
      <c r="A6" s="916"/>
      <c r="B6" s="95"/>
      <c r="C6" s="669" t="s">
        <v>80</v>
      </c>
      <c r="D6" s="670" t="s">
        <v>81</v>
      </c>
      <c r="E6" s="669" t="s">
        <v>80</v>
      </c>
      <c r="F6" s="670" t="s">
        <v>81</v>
      </c>
      <c r="G6" s="669" t="s">
        <v>80</v>
      </c>
      <c r="H6" s="670" t="s">
        <v>81</v>
      </c>
      <c r="I6" s="669" t="s">
        <v>80</v>
      </c>
      <c r="J6" s="670" t="s">
        <v>81</v>
      </c>
      <c r="K6" s="669" t="s">
        <v>80</v>
      </c>
      <c r="L6" s="670" t="s">
        <v>81</v>
      </c>
      <c r="M6" s="669" t="s">
        <v>80</v>
      </c>
      <c r="N6" s="670" t="s">
        <v>81</v>
      </c>
      <c r="O6" s="669" t="s">
        <v>80</v>
      </c>
      <c r="P6" s="670" t="s">
        <v>81</v>
      </c>
      <c r="Q6" s="669" t="s">
        <v>80</v>
      </c>
      <c r="R6" s="670" t="s">
        <v>81</v>
      </c>
      <c r="S6" s="669" t="s">
        <v>80</v>
      </c>
      <c r="T6" s="671" t="s">
        <v>81</v>
      </c>
      <c r="V6"/>
      <c r="W6"/>
      <c r="X6"/>
      <c r="Y6"/>
    </row>
    <row r="7" spans="1:25" ht="12.75" customHeight="1" thickTop="1">
      <c r="A7" s="25" t="str">
        <f>'t1'!A6</f>
        <v>DIRIGENTE SCOLASTICO</v>
      </c>
      <c r="B7" s="236" t="str">
        <f>'t1'!B6</f>
        <v>0D0158</v>
      </c>
      <c r="C7" s="232"/>
      <c r="D7" s="237"/>
      <c r="E7" s="232"/>
      <c r="F7" s="237"/>
      <c r="G7" s="232"/>
      <c r="H7" s="237"/>
      <c r="I7" s="232"/>
      <c r="J7" s="237"/>
      <c r="K7" s="547"/>
      <c r="L7" s="231"/>
      <c r="M7" s="232"/>
      <c r="N7" s="237"/>
      <c r="O7" s="238"/>
      <c r="P7" s="237"/>
      <c r="Q7" s="238"/>
      <c r="R7" s="237"/>
      <c r="S7" s="453">
        <f>SUM(C7,E7,G7,I7,K7,M7,O7,Q7)</f>
        <v>0</v>
      </c>
      <c r="T7" s="454">
        <f>SUM(D7,F7,H7,J7,L7,N7,P7,R7)</f>
        <v>0</v>
      </c>
      <c r="V7"/>
      <c r="W7"/>
      <c r="X7"/>
      <c r="Y7"/>
    </row>
    <row r="8" spans="1:25" ht="12.75" customHeight="1">
      <c r="A8" s="155" t="str">
        <f>'t1'!A7</f>
        <v>PROFESSORI DI PRIMA FASCIA</v>
      </c>
      <c r="B8" s="229" t="str">
        <f>'t1'!B7</f>
        <v>018P01</v>
      </c>
      <c r="C8" s="232">
        <v>1</v>
      </c>
      <c r="D8" s="237"/>
      <c r="E8" s="232"/>
      <c r="F8" s="237"/>
      <c r="G8" s="232"/>
      <c r="H8" s="237"/>
      <c r="I8" s="232"/>
      <c r="J8" s="237"/>
      <c r="K8" s="549"/>
      <c r="L8" s="231"/>
      <c r="M8" s="232"/>
      <c r="N8" s="237"/>
      <c r="O8" s="238"/>
      <c r="P8" s="237"/>
      <c r="Q8" s="238"/>
      <c r="R8" s="237"/>
      <c r="S8" s="455">
        <f aca="true" t="shared" si="0" ref="S8:S31">SUM(C8,E8,G8,I8,K8,M8,O8,Q8)</f>
        <v>1</v>
      </c>
      <c r="T8" s="456">
        <f aca="true" t="shared" si="1" ref="T8:T31">SUM(D8,F8,H8,J8,L8,N8,P8,R8)</f>
        <v>0</v>
      </c>
      <c r="V8"/>
      <c r="W8"/>
      <c r="X8"/>
      <c r="Y8"/>
    </row>
    <row r="9" spans="1:25" ht="12.75" customHeight="1">
      <c r="A9" s="155" t="str">
        <f>'t1'!A8</f>
        <v>PROFESSORI DI SECONDA FASCIA</v>
      </c>
      <c r="B9" s="229" t="str">
        <f>'t1'!B8</f>
        <v>016P02</v>
      </c>
      <c r="C9" s="232"/>
      <c r="D9" s="237"/>
      <c r="E9" s="232"/>
      <c r="F9" s="237"/>
      <c r="G9" s="232"/>
      <c r="H9" s="237"/>
      <c r="I9" s="232">
        <v>1</v>
      </c>
      <c r="J9" s="237">
        <v>1</v>
      </c>
      <c r="K9" s="549"/>
      <c r="L9" s="231"/>
      <c r="M9" s="232"/>
      <c r="N9" s="237"/>
      <c r="O9" s="238"/>
      <c r="P9" s="237"/>
      <c r="Q9" s="238"/>
      <c r="R9" s="237"/>
      <c r="S9" s="455">
        <f t="shared" si="0"/>
        <v>1</v>
      </c>
      <c r="T9" s="456">
        <f t="shared" si="1"/>
        <v>1</v>
      </c>
      <c r="V9"/>
      <c r="W9"/>
      <c r="X9"/>
      <c r="Y9"/>
    </row>
    <row r="10" spans="1:25" ht="12.75" customHeight="1">
      <c r="A10" s="155" t="str">
        <f>'t1'!A9</f>
        <v>DIRETTORE AMMINISTRATIVO EP2</v>
      </c>
      <c r="B10" s="229" t="str">
        <f>'t1'!B9</f>
        <v>013504</v>
      </c>
      <c r="C10" s="232"/>
      <c r="D10" s="237"/>
      <c r="E10" s="232"/>
      <c r="F10" s="237"/>
      <c r="G10" s="232"/>
      <c r="H10" s="237"/>
      <c r="I10" s="232"/>
      <c r="J10" s="237"/>
      <c r="K10" s="549"/>
      <c r="L10" s="231"/>
      <c r="M10" s="232"/>
      <c r="N10" s="237"/>
      <c r="O10" s="238"/>
      <c r="P10" s="237"/>
      <c r="Q10" s="238"/>
      <c r="R10" s="237"/>
      <c r="S10" s="455">
        <f t="shared" si="0"/>
        <v>0</v>
      </c>
      <c r="T10" s="456">
        <f t="shared" si="1"/>
        <v>0</v>
      </c>
      <c r="V10"/>
      <c r="W10"/>
      <c r="X10"/>
      <c r="Y10"/>
    </row>
    <row r="11" spans="1:25" ht="12.75" customHeight="1">
      <c r="A11" s="155" t="str">
        <f>'t1'!A10</f>
        <v>DIRETTORE DELL UFFICIO DI RAGIONERIA (EP1)</v>
      </c>
      <c r="B11" s="229" t="str">
        <f>'t1'!B10</f>
        <v>013159</v>
      </c>
      <c r="C11" s="232"/>
      <c r="D11" s="237"/>
      <c r="E11" s="232"/>
      <c r="F11" s="237"/>
      <c r="G11" s="232"/>
      <c r="H11" s="237"/>
      <c r="I11" s="232"/>
      <c r="J11" s="237"/>
      <c r="K11" s="549"/>
      <c r="L11" s="231"/>
      <c r="M11" s="232"/>
      <c r="N11" s="237"/>
      <c r="O11" s="238"/>
      <c r="P11" s="237"/>
      <c r="Q11" s="238"/>
      <c r="R11" s="237"/>
      <c r="S11" s="455">
        <f t="shared" si="0"/>
        <v>0</v>
      </c>
      <c r="T11" s="456">
        <f t="shared" si="1"/>
        <v>0</v>
      </c>
      <c r="V11"/>
      <c r="W11"/>
      <c r="X11"/>
      <c r="Y11"/>
    </row>
    <row r="12" spans="1:25" ht="12.75" customHeight="1">
      <c r="A12" s="155" t="str">
        <f>'t1'!A11</f>
        <v>COORDINATORE DI BIBLIOTECA TECNICO E AMMINISTRATIVO(D)</v>
      </c>
      <c r="B12" s="229" t="str">
        <f>'t1'!B11</f>
        <v>013DTE</v>
      </c>
      <c r="C12" s="232"/>
      <c r="D12" s="237"/>
      <c r="E12" s="232"/>
      <c r="F12" s="237"/>
      <c r="G12" s="232"/>
      <c r="H12" s="237"/>
      <c r="I12" s="232"/>
      <c r="J12" s="237"/>
      <c r="K12" s="549"/>
      <c r="L12" s="231"/>
      <c r="M12" s="232"/>
      <c r="N12" s="237"/>
      <c r="O12" s="238"/>
      <c r="P12" s="237"/>
      <c r="Q12" s="238"/>
      <c r="R12" s="237"/>
      <c r="S12" s="455">
        <f t="shared" si="0"/>
        <v>0</v>
      </c>
      <c r="T12" s="456">
        <f t="shared" si="1"/>
        <v>0</v>
      </c>
      <c r="V12"/>
      <c r="W12"/>
      <c r="X12"/>
      <c r="Y12"/>
    </row>
    <row r="13" spans="1:25" ht="12.75" customHeight="1">
      <c r="A13" s="155" t="str">
        <f>'t1'!A12</f>
        <v>COLLABORATORE TEC. AMMIN. DI BIBLIOT. E DI LAB. (C)</v>
      </c>
      <c r="B13" s="229" t="str">
        <f>'t1'!B12</f>
        <v>013CTE</v>
      </c>
      <c r="C13" s="232"/>
      <c r="D13" s="237"/>
      <c r="E13" s="232"/>
      <c r="F13" s="237"/>
      <c r="G13" s="232"/>
      <c r="H13" s="237"/>
      <c r="I13" s="232"/>
      <c r="J13" s="237"/>
      <c r="K13" s="549"/>
      <c r="L13" s="231"/>
      <c r="M13" s="232"/>
      <c r="N13" s="237"/>
      <c r="O13" s="238"/>
      <c r="P13" s="237"/>
      <c r="Q13" s="238"/>
      <c r="R13" s="237"/>
      <c r="S13" s="455">
        <f t="shared" si="0"/>
        <v>0</v>
      </c>
      <c r="T13" s="456">
        <f t="shared" si="1"/>
        <v>0</v>
      </c>
      <c r="V13"/>
      <c r="W13"/>
      <c r="X13"/>
      <c r="Y13"/>
    </row>
    <row r="14" spans="1:25" ht="12.75" customHeight="1">
      <c r="A14" s="155" t="str">
        <f>'t1'!A13</f>
        <v>ASSISTENTE AMMINISTRATIVO (B)</v>
      </c>
      <c r="B14" s="229" t="str">
        <f>'t1'!B13</f>
        <v>012117</v>
      </c>
      <c r="C14" s="232"/>
      <c r="D14" s="237"/>
      <c r="E14" s="232"/>
      <c r="F14" s="237"/>
      <c r="G14" s="232"/>
      <c r="H14" s="237"/>
      <c r="I14" s="232"/>
      <c r="J14" s="237"/>
      <c r="K14" s="549"/>
      <c r="L14" s="231"/>
      <c r="M14" s="232"/>
      <c r="N14" s="237"/>
      <c r="O14" s="238"/>
      <c r="P14" s="237"/>
      <c r="Q14" s="238"/>
      <c r="R14" s="237"/>
      <c r="S14" s="455">
        <f t="shared" si="0"/>
        <v>0</v>
      </c>
      <c r="T14" s="456">
        <f t="shared" si="1"/>
        <v>0</v>
      </c>
      <c r="V14"/>
      <c r="W14"/>
      <c r="X14"/>
      <c r="Y14"/>
    </row>
    <row r="15" spans="1:25" ht="12.75" customHeight="1">
      <c r="A15" s="155" t="str">
        <f>'t1'!A14</f>
        <v>COADIUTORE (A)</v>
      </c>
      <c r="B15" s="229" t="str">
        <f>'t1'!B14</f>
        <v>011121</v>
      </c>
      <c r="C15" s="232"/>
      <c r="D15" s="237"/>
      <c r="E15" s="232"/>
      <c r="F15" s="237"/>
      <c r="G15" s="232"/>
      <c r="H15" s="237"/>
      <c r="I15" s="232"/>
      <c r="J15" s="237"/>
      <c r="K15" s="549"/>
      <c r="L15" s="231"/>
      <c r="M15" s="232"/>
      <c r="N15" s="237"/>
      <c r="O15" s="238"/>
      <c r="P15" s="237"/>
      <c r="Q15" s="238"/>
      <c r="R15" s="237"/>
      <c r="S15" s="455">
        <f t="shared" si="0"/>
        <v>0</v>
      </c>
      <c r="T15" s="456">
        <f t="shared" si="1"/>
        <v>0</v>
      </c>
      <c r="V15"/>
      <c r="W15"/>
      <c r="X15"/>
      <c r="Y15"/>
    </row>
    <row r="16" spans="1:25" ht="12.75" customHeight="1">
      <c r="A16" s="155" t="str">
        <f>'t1'!A15</f>
        <v>PROFESSORI DI PRIMA FASCIA TEMPO DET.ANNUALE</v>
      </c>
      <c r="B16" s="229" t="str">
        <f>'t1'!B15</f>
        <v>018PD1</v>
      </c>
      <c r="C16" s="754"/>
      <c r="D16" s="755"/>
      <c r="E16" s="754"/>
      <c r="F16" s="755"/>
      <c r="G16" s="754"/>
      <c r="H16" s="755"/>
      <c r="I16" s="754"/>
      <c r="J16" s="755"/>
      <c r="K16" s="754"/>
      <c r="L16" s="755"/>
      <c r="M16" s="754"/>
      <c r="N16" s="755"/>
      <c r="O16" s="754"/>
      <c r="P16" s="755"/>
      <c r="Q16" s="754"/>
      <c r="R16" s="755"/>
      <c r="S16" s="455">
        <f t="shared" si="0"/>
        <v>0</v>
      </c>
      <c r="T16" s="456">
        <f t="shared" si="1"/>
        <v>0</v>
      </c>
      <c r="V16"/>
      <c r="W16"/>
      <c r="X16"/>
      <c r="Y16"/>
    </row>
    <row r="17" spans="1:25" ht="12.75" customHeight="1">
      <c r="A17" s="155" t="str">
        <f>'t1'!A16</f>
        <v>PROFESSORI DI SECONDA FASCIA TEMPO DET.ANNUALE</v>
      </c>
      <c r="B17" s="229" t="str">
        <f>'t1'!B16</f>
        <v>016PD2</v>
      </c>
      <c r="C17" s="754"/>
      <c r="D17" s="755"/>
      <c r="E17" s="754"/>
      <c r="F17" s="755"/>
      <c r="G17" s="754"/>
      <c r="H17" s="755"/>
      <c r="I17" s="754"/>
      <c r="J17" s="755"/>
      <c r="K17" s="754"/>
      <c r="L17" s="755"/>
      <c r="M17" s="754"/>
      <c r="N17" s="755"/>
      <c r="O17" s="754"/>
      <c r="P17" s="755"/>
      <c r="Q17" s="754"/>
      <c r="R17" s="755"/>
      <c r="S17" s="455">
        <f t="shared" si="0"/>
        <v>0</v>
      </c>
      <c r="T17" s="456">
        <f t="shared" si="1"/>
        <v>0</v>
      </c>
      <c r="V17"/>
      <c r="W17"/>
      <c r="X17"/>
      <c r="Y17"/>
    </row>
    <row r="18" spans="1:25" ht="12.75" customHeight="1">
      <c r="A18" s="155" t="str">
        <f>'t1'!A17</f>
        <v>PROFESSORI DI PRIMA FASCIA T. DET. TERMINE ATTIV DIDATT</v>
      </c>
      <c r="B18" s="229" t="str">
        <f>'t1'!B17</f>
        <v>018DD1</v>
      </c>
      <c r="C18" s="754"/>
      <c r="D18" s="755"/>
      <c r="E18" s="754"/>
      <c r="F18" s="755"/>
      <c r="G18" s="754"/>
      <c r="H18" s="755"/>
      <c r="I18" s="754"/>
      <c r="J18" s="755"/>
      <c r="K18" s="754"/>
      <c r="L18" s="755"/>
      <c r="M18" s="754"/>
      <c r="N18" s="755"/>
      <c r="O18" s="754"/>
      <c r="P18" s="755"/>
      <c r="Q18" s="754"/>
      <c r="R18" s="755"/>
      <c r="S18" s="455">
        <f t="shared" si="0"/>
        <v>0</v>
      </c>
      <c r="T18" s="456">
        <f t="shared" si="1"/>
        <v>0</v>
      </c>
      <c r="V18"/>
      <c r="W18"/>
      <c r="X18"/>
      <c r="Y18"/>
    </row>
    <row r="19" spans="1:25" ht="12.75" customHeight="1">
      <c r="A19" s="155" t="str">
        <f>'t1'!A18</f>
        <v>PROFESSORI DI SECONDA FASCIA T. DET. TERMINE ATTIV DIDATT</v>
      </c>
      <c r="B19" s="229" t="str">
        <f>'t1'!B18</f>
        <v>016DD2</v>
      </c>
      <c r="C19" s="754"/>
      <c r="D19" s="755"/>
      <c r="E19" s="754"/>
      <c r="F19" s="755"/>
      <c r="G19" s="754"/>
      <c r="H19" s="755"/>
      <c r="I19" s="754"/>
      <c r="J19" s="755"/>
      <c r="K19" s="754"/>
      <c r="L19" s="755"/>
      <c r="M19" s="754"/>
      <c r="N19" s="755"/>
      <c r="O19" s="754"/>
      <c r="P19" s="755"/>
      <c r="Q19" s="754"/>
      <c r="R19" s="755"/>
      <c r="S19" s="455">
        <f t="shared" si="0"/>
        <v>0</v>
      </c>
      <c r="T19" s="456">
        <f t="shared" si="1"/>
        <v>0</v>
      </c>
      <c r="V19"/>
      <c r="W19"/>
      <c r="X19"/>
      <c r="Y19"/>
    </row>
    <row r="20" spans="1:25" ht="12.75" customHeight="1">
      <c r="A20" s="155" t="str">
        <f>'t1'!A19</f>
        <v>DIRETTORE AMMINISTRATIVO TEMPO DET.ANNUALE (EP2)</v>
      </c>
      <c r="B20" s="229" t="str">
        <f>'t1'!B19</f>
        <v>013EP2</v>
      </c>
      <c r="C20" s="754"/>
      <c r="D20" s="755"/>
      <c r="E20" s="754"/>
      <c r="F20" s="755"/>
      <c r="G20" s="754"/>
      <c r="H20" s="755"/>
      <c r="I20" s="754"/>
      <c r="J20" s="755"/>
      <c r="K20" s="754"/>
      <c r="L20" s="755"/>
      <c r="M20" s="754"/>
      <c r="N20" s="755"/>
      <c r="O20" s="754"/>
      <c r="P20" s="755"/>
      <c r="Q20" s="754"/>
      <c r="R20" s="755"/>
      <c r="S20" s="455">
        <f t="shared" si="0"/>
        <v>0</v>
      </c>
      <c r="T20" s="456">
        <f t="shared" si="1"/>
        <v>0</v>
      </c>
      <c r="V20"/>
      <c r="W20"/>
      <c r="X20"/>
      <c r="Y20"/>
    </row>
    <row r="21" spans="1:25" ht="12.75" customHeight="1">
      <c r="A21" s="155" t="str">
        <f>'t1'!A20</f>
        <v>DIRETTORE DELL UFFICIO DI RAGIONERIA TEMPO DET.ANNUALE (EP1)</v>
      </c>
      <c r="B21" s="229" t="str">
        <f>'t1'!B20</f>
        <v>013160</v>
      </c>
      <c r="C21" s="754"/>
      <c r="D21" s="755"/>
      <c r="E21" s="754"/>
      <c r="F21" s="755"/>
      <c r="G21" s="754"/>
      <c r="H21" s="755"/>
      <c r="I21" s="754"/>
      <c r="J21" s="755"/>
      <c r="K21" s="754"/>
      <c r="L21" s="755"/>
      <c r="M21" s="754"/>
      <c r="N21" s="755"/>
      <c r="O21" s="754"/>
      <c r="P21" s="755"/>
      <c r="Q21" s="754"/>
      <c r="R21" s="755"/>
      <c r="S21" s="455">
        <f t="shared" si="0"/>
        <v>0</v>
      </c>
      <c r="T21" s="456">
        <f t="shared" si="1"/>
        <v>0</v>
      </c>
      <c r="V21"/>
      <c r="W21"/>
      <c r="X21"/>
      <c r="Y21"/>
    </row>
    <row r="22" spans="1:25" ht="12.75" customHeight="1">
      <c r="A22" s="155" t="str">
        <f>'t1'!A21</f>
        <v>DIRETTORE AMMINISTRATIVO T. DET. TERMINE ATTIV DIDATT(EP2)</v>
      </c>
      <c r="B22" s="229" t="str">
        <f>'t1'!B21</f>
        <v>013E2N</v>
      </c>
      <c r="C22" s="754"/>
      <c r="D22" s="755"/>
      <c r="E22" s="754"/>
      <c r="F22" s="755"/>
      <c r="G22" s="754"/>
      <c r="H22" s="755"/>
      <c r="I22" s="754"/>
      <c r="J22" s="755"/>
      <c r="K22" s="754"/>
      <c r="L22" s="755"/>
      <c r="M22" s="754"/>
      <c r="N22" s="755"/>
      <c r="O22" s="754"/>
      <c r="P22" s="755"/>
      <c r="Q22" s="754"/>
      <c r="R22" s="755"/>
      <c r="S22" s="455">
        <f t="shared" si="0"/>
        <v>0</v>
      </c>
      <c r="T22" s="456">
        <f t="shared" si="1"/>
        <v>0</v>
      </c>
      <c r="V22"/>
      <c r="W22"/>
      <c r="X22"/>
      <c r="Y22"/>
    </row>
    <row r="23" spans="1:25" ht="12.75" customHeight="1">
      <c r="A23" s="155" t="str">
        <f>'t1'!A22</f>
        <v>DIRETTORE UFF. RAGIONERIA T. DET. TERM. ATTIV DIDATT(EP1)</v>
      </c>
      <c r="B23" s="229" t="str">
        <f>'t1'!B22</f>
        <v>013E1N</v>
      </c>
      <c r="C23" s="754"/>
      <c r="D23" s="755"/>
      <c r="E23" s="754"/>
      <c r="F23" s="755"/>
      <c r="G23" s="754"/>
      <c r="H23" s="755"/>
      <c r="I23" s="754"/>
      <c r="J23" s="755"/>
      <c r="K23" s="754"/>
      <c r="L23" s="755"/>
      <c r="M23" s="754"/>
      <c r="N23" s="755"/>
      <c r="O23" s="754"/>
      <c r="P23" s="755"/>
      <c r="Q23" s="754"/>
      <c r="R23" s="755"/>
      <c r="S23" s="455">
        <f t="shared" si="0"/>
        <v>0</v>
      </c>
      <c r="T23" s="456">
        <f t="shared" si="1"/>
        <v>0</v>
      </c>
      <c r="V23"/>
      <c r="W23"/>
      <c r="X23"/>
      <c r="Y23"/>
    </row>
    <row r="24" spans="1:25" ht="12.75" customHeight="1">
      <c r="A24" s="155" t="str">
        <f>'t1'!A23</f>
        <v>COORD. DI BIBLIOT., COORD. TEC. E AMM. TEMPO DET.ANNUALE</v>
      </c>
      <c r="B24" s="229" t="str">
        <f>'t1'!B23</f>
        <v>013DDE</v>
      </c>
      <c r="C24" s="754"/>
      <c r="D24" s="755"/>
      <c r="E24" s="754"/>
      <c r="F24" s="755"/>
      <c r="G24" s="754"/>
      <c r="H24" s="755"/>
      <c r="I24" s="754"/>
      <c r="J24" s="755"/>
      <c r="K24" s="754"/>
      <c r="L24" s="755"/>
      <c r="M24" s="754"/>
      <c r="N24" s="755"/>
      <c r="O24" s="754"/>
      <c r="P24" s="755"/>
      <c r="Q24" s="754"/>
      <c r="R24" s="755"/>
      <c r="S24" s="455">
        <f t="shared" si="0"/>
        <v>0</v>
      </c>
      <c r="T24" s="456">
        <f t="shared" si="1"/>
        <v>0</v>
      </c>
      <c r="V24"/>
      <c r="W24"/>
      <c r="X24"/>
      <c r="Y24"/>
    </row>
    <row r="25" spans="1:25" ht="12.75" customHeight="1">
      <c r="A25" s="155" t="str">
        <f>'t1'!A24</f>
        <v>COLLAB. TEC. AMMIN. DI BIBLIOT. E DI LAB. TEMPO DET.ANNUALE</v>
      </c>
      <c r="B25" s="229" t="str">
        <f>'t1'!B24</f>
        <v>013CDE</v>
      </c>
      <c r="C25" s="754"/>
      <c r="D25" s="755"/>
      <c r="E25" s="754"/>
      <c r="F25" s="755"/>
      <c r="G25" s="754"/>
      <c r="H25" s="755"/>
      <c r="I25" s="754"/>
      <c r="J25" s="755"/>
      <c r="K25" s="754"/>
      <c r="L25" s="755"/>
      <c r="M25" s="754"/>
      <c r="N25" s="755"/>
      <c r="O25" s="754"/>
      <c r="P25" s="755"/>
      <c r="Q25" s="754"/>
      <c r="R25" s="755"/>
      <c r="S25" s="455">
        <f t="shared" si="0"/>
        <v>0</v>
      </c>
      <c r="T25" s="456">
        <f t="shared" si="1"/>
        <v>0</v>
      </c>
      <c r="V25"/>
      <c r="W25"/>
      <c r="X25"/>
      <c r="Y25"/>
    </row>
    <row r="26" spans="1:25" ht="12.75" customHeight="1">
      <c r="A26" s="155" t="str">
        <f>'t1'!A25</f>
        <v>ASSIST. AMMINISTRATIVO TEMPO DET.ANNUALE</v>
      </c>
      <c r="B26" s="229" t="str">
        <f>'t1'!B25</f>
        <v>012118</v>
      </c>
      <c r="C26" s="754"/>
      <c r="D26" s="755"/>
      <c r="E26" s="754"/>
      <c r="F26" s="755"/>
      <c r="G26" s="754"/>
      <c r="H26" s="755"/>
      <c r="I26" s="754"/>
      <c r="J26" s="755"/>
      <c r="K26" s="754"/>
      <c r="L26" s="755"/>
      <c r="M26" s="754"/>
      <c r="N26" s="755"/>
      <c r="O26" s="754"/>
      <c r="P26" s="755"/>
      <c r="Q26" s="754"/>
      <c r="R26" s="755"/>
      <c r="S26" s="455">
        <f t="shared" si="0"/>
        <v>0</v>
      </c>
      <c r="T26" s="456">
        <f t="shared" si="1"/>
        <v>0</v>
      </c>
      <c r="V26"/>
      <c r="W26"/>
      <c r="X26"/>
      <c r="Y26"/>
    </row>
    <row r="27" spans="1:25" ht="12.75" customHeight="1">
      <c r="A27" s="155" t="str">
        <f>'t1'!A26</f>
        <v>COADIUTORE TEMPO DET.ANNUALE</v>
      </c>
      <c r="B27" s="229" t="str">
        <f>'t1'!B26</f>
        <v>011124</v>
      </c>
      <c r="C27" s="754"/>
      <c r="D27" s="755"/>
      <c r="E27" s="754"/>
      <c r="F27" s="755"/>
      <c r="G27" s="754"/>
      <c r="H27" s="755"/>
      <c r="I27" s="754"/>
      <c r="J27" s="755"/>
      <c r="K27" s="754"/>
      <c r="L27" s="755"/>
      <c r="M27" s="754"/>
      <c r="N27" s="755"/>
      <c r="O27" s="754"/>
      <c r="P27" s="755"/>
      <c r="Q27" s="754"/>
      <c r="R27" s="755"/>
      <c r="S27" s="455">
        <f t="shared" si="0"/>
        <v>0</v>
      </c>
      <c r="T27" s="456">
        <f t="shared" si="1"/>
        <v>0</v>
      </c>
      <c r="V27"/>
      <c r="W27"/>
      <c r="X27"/>
      <c r="Y27"/>
    </row>
    <row r="28" spans="1:25" ht="12.75" customHeight="1">
      <c r="A28" s="155" t="str">
        <f>'t1'!A27</f>
        <v>COORD. BIBL., COORD. TEC. E AMM. T. DET. TERM. ATTIV DIDATT</v>
      </c>
      <c r="B28" s="229" t="str">
        <f>'t1'!B27</f>
        <v>013DDN</v>
      </c>
      <c r="C28" s="754"/>
      <c r="D28" s="755"/>
      <c r="E28" s="754"/>
      <c r="F28" s="755"/>
      <c r="G28" s="754"/>
      <c r="H28" s="755"/>
      <c r="I28" s="754"/>
      <c r="J28" s="755"/>
      <c r="K28" s="754"/>
      <c r="L28" s="755"/>
      <c r="M28" s="754"/>
      <c r="N28" s="755"/>
      <c r="O28" s="754"/>
      <c r="P28" s="755"/>
      <c r="Q28" s="754"/>
      <c r="R28" s="755"/>
      <c r="S28" s="455">
        <f t="shared" si="0"/>
        <v>0</v>
      </c>
      <c r="T28" s="456">
        <f t="shared" si="1"/>
        <v>0</v>
      </c>
      <c r="V28"/>
      <c r="W28"/>
      <c r="X28"/>
      <c r="Y28"/>
    </row>
    <row r="29" spans="1:25" ht="12.75" customHeight="1">
      <c r="A29" s="155" t="str">
        <f>'t1'!A28</f>
        <v>COLLAB. TEC. AMM. BIBL. E DI LAB. T. D. TERM. ATTIV DIDATT</v>
      </c>
      <c r="B29" s="229" t="str">
        <f>'t1'!B28</f>
        <v>013CDN</v>
      </c>
      <c r="C29" s="754"/>
      <c r="D29" s="755"/>
      <c r="E29" s="754"/>
      <c r="F29" s="755"/>
      <c r="G29" s="754"/>
      <c r="H29" s="755"/>
      <c r="I29" s="754"/>
      <c r="J29" s="755"/>
      <c r="K29" s="754"/>
      <c r="L29" s="755"/>
      <c r="M29" s="754"/>
      <c r="N29" s="755"/>
      <c r="O29" s="754"/>
      <c r="P29" s="755"/>
      <c r="Q29" s="754"/>
      <c r="R29" s="755"/>
      <c r="S29" s="455">
        <f t="shared" si="0"/>
        <v>0</v>
      </c>
      <c r="T29" s="456">
        <f t="shared" si="1"/>
        <v>0</v>
      </c>
      <c r="V29"/>
      <c r="W29"/>
      <c r="X29"/>
      <c r="Y29"/>
    </row>
    <row r="30" spans="1:25" ht="12.75" customHeight="1">
      <c r="A30" s="155" t="str">
        <f>'t1'!A29</f>
        <v>ASSISTENTE AMMINISTRATIVO TEM.DET. TERMINE ATTIV DIDATT</v>
      </c>
      <c r="B30" s="229" t="str">
        <f>'t1'!B29</f>
        <v>016509</v>
      </c>
      <c r="C30" s="754"/>
      <c r="D30" s="755"/>
      <c r="E30" s="754"/>
      <c r="F30" s="755"/>
      <c r="G30" s="754"/>
      <c r="H30" s="755"/>
      <c r="I30" s="754"/>
      <c r="J30" s="755"/>
      <c r="K30" s="754"/>
      <c r="L30" s="755"/>
      <c r="M30" s="754"/>
      <c r="N30" s="755"/>
      <c r="O30" s="754"/>
      <c r="P30" s="755"/>
      <c r="Q30" s="754"/>
      <c r="R30" s="755"/>
      <c r="S30" s="455">
        <f t="shared" si="0"/>
        <v>0</v>
      </c>
      <c r="T30" s="456">
        <f t="shared" si="1"/>
        <v>0</v>
      </c>
      <c r="V30"/>
      <c r="W30"/>
      <c r="X30"/>
      <c r="Y30"/>
    </row>
    <row r="31" spans="1:25" ht="12.75" customHeight="1" thickBot="1">
      <c r="A31" s="155" t="str">
        <f>'t1'!A30</f>
        <v>COADIUTORE TEMPO DET. TERMINE ATTIV DIDATT</v>
      </c>
      <c r="B31" s="229" t="str">
        <f>'t1'!B30</f>
        <v>011CNA</v>
      </c>
      <c r="C31" s="756"/>
      <c r="D31" s="757"/>
      <c r="E31" s="756"/>
      <c r="F31" s="757"/>
      <c r="G31" s="756"/>
      <c r="H31" s="757"/>
      <c r="I31" s="756"/>
      <c r="J31" s="757"/>
      <c r="K31" s="756"/>
      <c r="L31" s="757"/>
      <c r="M31" s="756"/>
      <c r="N31" s="757"/>
      <c r="O31" s="756"/>
      <c r="P31" s="757"/>
      <c r="Q31" s="756"/>
      <c r="R31" s="757"/>
      <c r="S31" s="455">
        <f t="shared" si="0"/>
        <v>0</v>
      </c>
      <c r="T31" s="456">
        <f t="shared" si="1"/>
        <v>0</v>
      </c>
      <c r="V31"/>
      <c r="W31"/>
      <c r="X31"/>
      <c r="Y31"/>
    </row>
    <row r="32" spans="1:25" ht="13.5" customHeight="1" thickBot="1" thickTop="1">
      <c r="A32" s="303" t="s">
        <v>82</v>
      </c>
      <c r="B32" s="97"/>
      <c r="C32" s="457">
        <f aca="true" t="shared" si="2" ref="C32:T32">SUM(C7:C31)</f>
        <v>1</v>
      </c>
      <c r="D32" s="458">
        <f t="shared" si="2"/>
        <v>0</v>
      </c>
      <c r="E32" s="457">
        <f t="shared" si="2"/>
        <v>0</v>
      </c>
      <c r="F32" s="458">
        <f t="shared" si="2"/>
        <v>0</v>
      </c>
      <c r="G32" s="457">
        <f t="shared" si="2"/>
        <v>0</v>
      </c>
      <c r="H32" s="458">
        <f t="shared" si="2"/>
        <v>0</v>
      </c>
      <c r="I32" s="457">
        <f t="shared" si="2"/>
        <v>1</v>
      </c>
      <c r="J32" s="458">
        <f t="shared" si="2"/>
        <v>1</v>
      </c>
      <c r="K32" s="457">
        <f t="shared" si="2"/>
        <v>0</v>
      </c>
      <c r="L32" s="548">
        <f t="shared" si="2"/>
        <v>0</v>
      </c>
      <c r="M32" s="457">
        <f>SUM(M7:M31)</f>
        <v>0</v>
      </c>
      <c r="N32" s="458">
        <f>SUM(N7:N31)</f>
        <v>0</v>
      </c>
      <c r="O32" s="457">
        <f t="shared" si="2"/>
        <v>0</v>
      </c>
      <c r="P32" s="458">
        <f t="shared" si="2"/>
        <v>0</v>
      </c>
      <c r="Q32" s="457">
        <f t="shared" si="2"/>
        <v>0</v>
      </c>
      <c r="R32" s="458">
        <f t="shared" si="2"/>
        <v>0</v>
      </c>
      <c r="S32" s="457">
        <f t="shared" si="2"/>
        <v>2</v>
      </c>
      <c r="T32" s="561">
        <f t="shared" si="2"/>
        <v>1</v>
      </c>
      <c r="V32"/>
      <c r="W32"/>
      <c r="X32"/>
      <c r="Y32"/>
    </row>
    <row r="33" ht="18.75" customHeight="1">
      <c r="A33" s="89" t="s">
        <v>109</v>
      </c>
    </row>
    <row r="34" spans="1:14" ht="11.25">
      <c r="A34" s="26">
        <f>'t1'!$A$33</f>
      </c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ht="11.25">
      <c r="A35" s="26"/>
    </row>
  </sheetData>
  <sheetProtection password="EA98" sheet="1" formatColumns="0" selectLockedCells="1"/>
  <mergeCells count="20">
    <mergeCell ref="K4:L4"/>
    <mergeCell ref="M5:N5"/>
    <mergeCell ref="Q5:R5"/>
    <mergeCell ref="C4:D4"/>
    <mergeCell ref="E4:F4"/>
    <mergeCell ref="I4:J4"/>
    <mergeCell ref="Q4:R4"/>
    <mergeCell ref="M4:N4"/>
    <mergeCell ref="O4:P4"/>
    <mergeCell ref="O5:P5"/>
    <mergeCell ref="O2:T2"/>
    <mergeCell ref="A1:R1"/>
    <mergeCell ref="G4:H4"/>
    <mergeCell ref="C5:D5"/>
    <mergeCell ref="E5:F5"/>
    <mergeCell ref="G5:H5"/>
    <mergeCell ref="I5:J5"/>
    <mergeCell ref="S4:T4"/>
    <mergeCell ref="K5:L5"/>
    <mergeCell ref="S5:T5"/>
  </mergeCells>
  <printOptions horizontalCentered="1" verticalCentered="1"/>
  <pageMargins left="0" right="0" top="0.15748031496062992" bottom="0.15748031496062992" header="0.1968503937007874" footer="0.1968503937007874"/>
  <pageSetup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3"/>
  <dimension ref="A1:W36"/>
  <sheetViews>
    <sheetView showGridLines="0" zoomScalePageLayoutView="0" workbookViewId="0" topLeftCell="A1">
      <pane xSplit="2" ySplit="6" topLeftCell="C7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C7" sqref="C7"/>
    </sheetView>
  </sheetViews>
  <sheetFormatPr defaultColWidth="10.66015625" defaultRowHeight="10.5"/>
  <cols>
    <col min="1" max="1" width="57.83203125" style="79" customWidth="1"/>
    <col min="2" max="2" width="10.66015625" style="88" customWidth="1"/>
    <col min="3" max="8" width="10.83203125" style="79" customWidth="1"/>
    <col min="9" max="12" width="11.16015625" style="79" customWidth="1"/>
    <col min="13" max="20" width="10.33203125" style="79" customWidth="1"/>
    <col min="21" max="22" width="10.83203125" style="79" customWidth="1"/>
    <col min="23" max="23" width="5.83203125" style="79" hidden="1" customWidth="1"/>
    <col min="24" max="16384" width="10.66015625" style="79" customWidth="1"/>
  </cols>
  <sheetData>
    <row r="1" spans="1:23" s="5" customFormat="1" ht="43.5" customHeight="1">
      <c r="A1" s="1155" t="str">
        <f>'t1'!A1</f>
        <v>COMPARTO AFAM - anno 2016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  <c r="P1" s="1155"/>
      <c r="Q1" s="356"/>
      <c r="R1" s="356"/>
      <c r="S1" s="356"/>
      <c r="T1" s="356"/>
      <c r="U1" s="3"/>
      <c r="V1" s="320"/>
      <c r="W1"/>
    </row>
    <row r="2" spans="1:22" ht="30" customHeight="1" thickBot="1">
      <c r="A2" s="75"/>
      <c r="B2" s="76"/>
      <c r="C2" s="77"/>
      <c r="D2" s="78"/>
      <c r="E2" s="78"/>
      <c r="F2" s="78"/>
      <c r="G2" s="77"/>
      <c r="H2" s="77"/>
      <c r="I2" s="77"/>
      <c r="J2" s="1156"/>
      <c r="K2" s="1156"/>
      <c r="L2" s="1156"/>
      <c r="M2" s="1156"/>
      <c r="N2" s="1156"/>
      <c r="O2" s="1156"/>
      <c r="P2" s="1156"/>
      <c r="Q2" s="1156"/>
      <c r="R2" s="1156"/>
      <c r="S2" s="1156"/>
      <c r="T2" s="1156"/>
      <c r="U2" s="1156"/>
      <c r="V2" s="1156"/>
    </row>
    <row r="3" spans="1:22" ht="15" customHeight="1" thickBot="1">
      <c r="A3" s="80"/>
      <c r="B3" s="81"/>
      <c r="C3" s="82" t="s">
        <v>261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3"/>
      <c r="V3" s="834"/>
    </row>
    <row r="4" spans="1:22" ht="37.5" customHeight="1" thickTop="1">
      <c r="A4" s="285" t="s">
        <v>151</v>
      </c>
      <c r="B4" s="84" t="s">
        <v>78</v>
      </c>
      <c r="C4" s="1175" t="s">
        <v>374</v>
      </c>
      <c r="D4" s="1158"/>
      <c r="E4" s="1175" t="s">
        <v>107</v>
      </c>
      <c r="F4" s="1158"/>
      <c r="G4" s="1175" t="s">
        <v>672</v>
      </c>
      <c r="H4" s="1176"/>
      <c r="I4" s="1177" t="s">
        <v>346</v>
      </c>
      <c r="J4" s="1178"/>
      <c r="K4" s="1175" t="s">
        <v>347</v>
      </c>
      <c r="L4" s="1176"/>
      <c r="M4" s="1175" t="s">
        <v>349</v>
      </c>
      <c r="N4" s="1176"/>
      <c r="O4" s="1177" t="s">
        <v>350</v>
      </c>
      <c r="P4" s="1181"/>
      <c r="Q4" s="1175" t="s">
        <v>614</v>
      </c>
      <c r="R4" s="1176"/>
      <c r="S4" s="1177" t="s">
        <v>615</v>
      </c>
      <c r="T4" s="1181"/>
      <c r="U4" s="1182" t="s">
        <v>82</v>
      </c>
      <c r="V4" s="1183"/>
    </row>
    <row r="5" spans="1:22" ht="11.25">
      <c r="A5" s="668"/>
      <c r="B5" s="84"/>
      <c r="C5" s="1179" t="s">
        <v>381</v>
      </c>
      <c r="D5" s="1180"/>
      <c r="E5" s="1179" t="s">
        <v>382</v>
      </c>
      <c r="F5" s="1180"/>
      <c r="G5" s="1179" t="s">
        <v>383</v>
      </c>
      <c r="H5" s="1180"/>
      <c r="I5" s="1179" t="s">
        <v>384</v>
      </c>
      <c r="J5" s="1180"/>
      <c r="K5" s="1179" t="s">
        <v>385</v>
      </c>
      <c r="L5" s="1180"/>
      <c r="M5" s="1179" t="s">
        <v>386</v>
      </c>
      <c r="N5" s="1180"/>
      <c r="O5" s="1179" t="s">
        <v>387</v>
      </c>
      <c r="P5" s="1180"/>
      <c r="Q5" s="1179" t="s">
        <v>616</v>
      </c>
      <c r="R5" s="1180"/>
      <c r="S5" s="1179" t="s">
        <v>617</v>
      </c>
      <c r="T5" s="1180"/>
      <c r="U5" s="1184"/>
      <c r="V5" s="1185"/>
    </row>
    <row r="6" spans="1:22" ht="12" thickBot="1">
      <c r="A6" s="918" t="s">
        <v>687</v>
      </c>
      <c r="B6" s="85"/>
      <c r="C6" s="672" t="s">
        <v>80</v>
      </c>
      <c r="D6" s="673" t="s">
        <v>81</v>
      </c>
      <c r="E6" s="672" t="s">
        <v>80</v>
      </c>
      <c r="F6" s="673" t="s">
        <v>81</v>
      </c>
      <c r="G6" s="672" t="s">
        <v>80</v>
      </c>
      <c r="H6" s="673" t="s">
        <v>81</v>
      </c>
      <c r="I6" s="672" t="s">
        <v>80</v>
      </c>
      <c r="J6" s="673" t="s">
        <v>81</v>
      </c>
      <c r="K6" s="672" t="s">
        <v>80</v>
      </c>
      <c r="L6" s="673" t="s">
        <v>81</v>
      </c>
      <c r="M6" s="672" t="s">
        <v>80</v>
      </c>
      <c r="N6" s="673" t="s">
        <v>81</v>
      </c>
      <c r="O6" s="672" t="s">
        <v>80</v>
      </c>
      <c r="P6" s="673" t="s">
        <v>81</v>
      </c>
      <c r="Q6" s="672" t="s">
        <v>80</v>
      </c>
      <c r="R6" s="673" t="s">
        <v>81</v>
      </c>
      <c r="S6" s="672" t="s">
        <v>80</v>
      </c>
      <c r="T6" s="673" t="s">
        <v>81</v>
      </c>
      <c r="U6" s="672" t="s">
        <v>80</v>
      </c>
      <c r="V6" s="674" t="s">
        <v>81</v>
      </c>
    </row>
    <row r="7" spans="1:23" ht="12" customHeight="1" thickTop="1">
      <c r="A7" s="25" t="str">
        <f>'t1'!A6</f>
        <v>DIRIGENTE SCOLASTICO</v>
      </c>
      <c r="B7" s="236" t="str">
        <f>'t1'!B6</f>
        <v>0D0158</v>
      </c>
      <c r="C7" s="731"/>
      <c r="D7" s="732"/>
      <c r="E7" s="731"/>
      <c r="F7" s="733"/>
      <c r="G7" s="731"/>
      <c r="H7" s="733"/>
      <c r="I7" s="731"/>
      <c r="J7" s="732"/>
      <c r="K7" s="733"/>
      <c r="L7" s="732"/>
      <c r="M7" s="733"/>
      <c r="N7" s="732"/>
      <c r="O7" s="734"/>
      <c r="P7" s="732"/>
      <c r="Q7" s="734"/>
      <c r="R7" s="836"/>
      <c r="S7" s="835"/>
      <c r="T7" s="836"/>
      <c r="U7" s="459">
        <f>SUM(C7,E7,G7,I7,K7,M7,O7,Q7,S7)</f>
        <v>0</v>
      </c>
      <c r="V7" s="460">
        <f>SUM(D7,F7,H7,J7,L7,N7,P7,R7,T7)</f>
        <v>0</v>
      </c>
      <c r="W7" s="79">
        <f>'t1'!N6</f>
        <v>0</v>
      </c>
    </row>
    <row r="8" spans="1:23" ht="12" customHeight="1">
      <c r="A8" s="155" t="str">
        <f>'t1'!A7</f>
        <v>PROFESSORI DI PRIMA FASCIA</v>
      </c>
      <c r="B8" s="229" t="str">
        <f>'t1'!B7</f>
        <v>018P01</v>
      </c>
      <c r="C8" s="735"/>
      <c r="D8" s="736"/>
      <c r="E8" s="735"/>
      <c r="F8" s="737"/>
      <c r="G8" s="735"/>
      <c r="H8" s="737"/>
      <c r="I8" s="735"/>
      <c r="J8" s="736"/>
      <c r="K8" s="737"/>
      <c r="L8" s="736"/>
      <c r="M8" s="737"/>
      <c r="N8" s="736"/>
      <c r="O8" s="738"/>
      <c r="P8" s="736"/>
      <c r="Q8" s="738"/>
      <c r="R8" s="838"/>
      <c r="S8" s="837"/>
      <c r="T8" s="838"/>
      <c r="U8" s="459">
        <f aca="true" t="shared" si="0" ref="U8:U31">SUM(C8,E8,G8,I8,K8,M8,O8,Q8,S8)</f>
        <v>0</v>
      </c>
      <c r="V8" s="460">
        <f aca="true" t="shared" si="1" ref="V8:V31">SUM(D8,F8,H8,J8,L8,N8,P8,R8,T8)</f>
        <v>0</v>
      </c>
      <c r="W8" s="79">
        <f>'t1'!N7</f>
        <v>9</v>
      </c>
    </row>
    <row r="9" spans="1:23" ht="12" customHeight="1">
      <c r="A9" s="155" t="str">
        <f>'t1'!A8</f>
        <v>PROFESSORI DI SECONDA FASCIA</v>
      </c>
      <c r="B9" s="229" t="str">
        <f>'t1'!B8</f>
        <v>016P02</v>
      </c>
      <c r="C9" s="735"/>
      <c r="D9" s="736"/>
      <c r="E9" s="735"/>
      <c r="F9" s="737"/>
      <c r="G9" s="735"/>
      <c r="H9" s="737"/>
      <c r="I9" s="735"/>
      <c r="J9" s="736"/>
      <c r="K9" s="737"/>
      <c r="L9" s="736"/>
      <c r="M9" s="737"/>
      <c r="N9" s="736"/>
      <c r="O9" s="738"/>
      <c r="P9" s="736"/>
      <c r="Q9" s="738"/>
      <c r="R9" s="838"/>
      <c r="S9" s="837"/>
      <c r="T9" s="838"/>
      <c r="U9" s="459">
        <f t="shared" si="0"/>
        <v>0</v>
      </c>
      <c r="V9" s="460">
        <f t="shared" si="1"/>
        <v>0</v>
      </c>
      <c r="W9" s="79">
        <f>'t1'!N8</f>
        <v>7</v>
      </c>
    </row>
    <row r="10" spans="1:23" ht="12" customHeight="1">
      <c r="A10" s="155" t="str">
        <f>'t1'!A9</f>
        <v>DIRETTORE AMMINISTRATIVO EP2</v>
      </c>
      <c r="B10" s="229" t="str">
        <f>'t1'!B9</f>
        <v>013504</v>
      </c>
      <c r="C10" s="735"/>
      <c r="D10" s="736"/>
      <c r="E10" s="735"/>
      <c r="F10" s="737"/>
      <c r="G10" s="735"/>
      <c r="H10" s="737"/>
      <c r="I10" s="735"/>
      <c r="J10" s="736"/>
      <c r="K10" s="737"/>
      <c r="L10" s="736"/>
      <c r="M10" s="737"/>
      <c r="N10" s="736"/>
      <c r="O10" s="738"/>
      <c r="P10" s="736"/>
      <c r="Q10" s="738"/>
      <c r="R10" s="838"/>
      <c r="S10" s="837"/>
      <c r="T10" s="838"/>
      <c r="U10" s="459">
        <f t="shared" si="0"/>
        <v>0</v>
      </c>
      <c r="V10" s="460">
        <f t="shared" si="1"/>
        <v>0</v>
      </c>
      <c r="W10" s="79">
        <f>'t1'!N9</f>
        <v>1</v>
      </c>
    </row>
    <row r="11" spans="1:23" ht="12" customHeight="1">
      <c r="A11" s="155" t="str">
        <f>'t1'!A10</f>
        <v>DIRETTORE DELL UFFICIO DI RAGIONERIA (EP1)</v>
      </c>
      <c r="B11" s="229" t="str">
        <f>'t1'!B10</f>
        <v>013159</v>
      </c>
      <c r="C11" s="735"/>
      <c r="D11" s="736"/>
      <c r="E11" s="735"/>
      <c r="F11" s="737"/>
      <c r="G11" s="735"/>
      <c r="H11" s="737"/>
      <c r="I11" s="735"/>
      <c r="J11" s="736"/>
      <c r="K11" s="737"/>
      <c r="L11" s="736"/>
      <c r="M11" s="737"/>
      <c r="N11" s="736"/>
      <c r="O11" s="738"/>
      <c r="P11" s="736"/>
      <c r="Q11" s="738"/>
      <c r="R11" s="838"/>
      <c r="S11" s="837"/>
      <c r="T11" s="838"/>
      <c r="U11" s="459">
        <f t="shared" si="0"/>
        <v>0</v>
      </c>
      <c r="V11" s="460">
        <f t="shared" si="1"/>
        <v>0</v>
      </c>
      <c r="W11" s="79">
        <f>'t1'!N10</f>
        <v>1</v>
      </c>
    </row>
    <row r="12" spans="1:23" ht="12" customHeight="1">
      <c r="A12" s="155" t="str">
        <f>'t1'!A11</f>
        <v>COORDINATORE DI BIBLIOTECA TECNICO E AMMINISTRATIVO(D)</v>
      </c>
      <c r="B12" s="229" t="str">
        <f>'t1'!B11</f>
        <v>013DTE</v>
      </c>
      <c r="C12" s="735"/>
      <c r="D12" s="736"/>
      <c r="E12" s="735"/>
      <c r="F12" s="737"/>
      <c r="G12" s="735"/>
      <c r="H12" s="737"/>
      <c r="I12" s="735"/>
      <c r="J12" s="736"/>
      <c r="K12" s="737"/>
      <c r="L12" s="736"/>
      <c r="M12" s="737"/>
      <c r="N12" s="736"/>
      <c r="O12" s="738"/>
      <c r="P12" s="736"/>
      <c r="Q12" s="738"/>
      <c r="R12" s="838"/>
      <c r="S12" s="837"/>
      <c r="T12" s="838"/>
      <c r="U12" s="459">
        <f t="shared" si="0"/>
        <v>0</v>
      </c>
      <c r="V12" s="460">
        <f t="shared" si="1"/>
        <v>0</v>
      </c>
      <c r="W12" s="79">
        <f>'t1'!N11</f>
        <v>0</v>
      </c>
    </row>
    <row r="13" spans="1:23" ht="12" customHeight="1">
      <c r="A13" s="155" t="str">
        <f>'t1'!A12</f>
        <v>COLLABORATORE TEC. AMMIN. DI BIBLIOT. E DI LAB. (C)</v>
      </c>
      <c r="B13" s="229" t="str">
        <f>'t1'!B12</f>
        <v>013CTE</v>
      </c>
      <c r="C13" s="735"/>
      <c r="D13" s="736"/>
      <c r="E13" s="735"/>
      <c r="F13" s="737"/>
      <c r="G13" s="735"/>
      <c r="H13" s="737"/>
      <c r="I13" s="735"/>
      <c r="J13" s="736"/>
      <c r="K13" s="737"/>
      <c r="L13" s="736"/>
      <c r="M13" s="737"/>
      <c r="N13" s="736"/>
      <c r="O13" s="738"/>
      <c r="P13" s="736"/>
      <c r="Q13" s="738"/>
      <c r="R13" s="838"/>
      <c r="S13" s="837"/>
      <c r="T13" s="838"/>
      <c r="U13" s="459">
        <f t="shared" si="0"/>
        <v>0</v>
      </c>
      <c r="V13" s="460">
        <f t="shared" si="1"/>
        <v>0</v>
      </c>
      <c r="W13" s="79">
        <f>'t1'!N12</f>
        <v>0</v>
      </c>
    </row>
    <row r="14" spans="1:23" ht="12" customHeight="1">
      <c r="A14" s="155" t="str">
        <f>'t1'!A13</f>
        <v>ASSISTENTE AMMINISTRATIVO (B)</v>
      </c>
      <c r="B14" s="229" t="str">
        <f>'t1'!B13</f>
        <v>012117</v>
      </c>
      <c r="C14" s="735"/>
      <c r="D14" s="736"/>
      <c r="E14" s="735"/>
      <c r="F14" s="737"/>
      <c r="G14" s="735"/>
      <c r="H14" s="737"/>
      <c r="I14" s="735"/>
      <c r="J14" s="736"/>
      <c r="K14" s="737"/>
      <c r="L14" s="736"/>
      <c r="M14" s="737"/>
      <c r="N14" s="736"/>
      <c r="O14" s="738"/>
      <c r="P14" s="736"/>
      <c r="Q14" s="738"/>
      <c r="R14" s="838"/>
      <c r="S14" s="837"/>
      <c r="T14" s="838"/>
      <c r="U14" s="459">
        <f t="shared" si="0"/>
        <v>0</v>
      </c>
      <c r="V14" s="460">
        <f t="shared" si="1"/>
        <v>0</v>
      </c>
      <c r="W14" s="79">
        <f>'t1'!N13</f>
        <v>4</v>
      </c>
    </row>
    <row r="15" spans="1:23" ht="12" customHeight="1">
      <c r="A15" s="155" t="str">
        <f>'t1'!A14</f>
        <v>COADIUTORE (A)</v>
      </c>
      <c r="B15" s="229" t="str">
        <f>'t1'!B14</f>
        <v>011121</v>
      </c>
      <c r="C15" s="735"/>
      <c r="D15" s="736"/>
      <c r="E15" s="735"/>
      <c r="F15" s="737"/>
      <c r="G15" s="735"/>
      <c r="H15" s="737"/>
      <c r="I15" s="735"/>
      <c r="J15" s="736"/>
      <c r="K15" s="737"/>
      <c r="L15" s="736"/>
      <c r="M15" s="737"/>
      <c r="N15" s="736"/>
      <c r="O15" s="738"/>
      <c r="P15" s="736"/>
      <c r="Q15" s="738"/>
      <c r="R15" s="838"/>
      <c r="S15" s="837"/>
      <c r="T15" s="838"/>
      <c r="U15" s="459">
        <f t="shared" si="0"/>
        <v>0</v>
      </c>
      <c r="V15" s="460">
        <f t="shared" si="1"/>
        <v>0</v>
      </c>
      <c r="W15" s="79">
        <f>'t1'!N14</f>
        <v>6</v>
      </c>
    </row>
    <row r="16" spans="1:23" ht="12" customHeight="1">
      <c r="A16" s="155" t="str">
        <f>'t1'!A15</f>
        <v>PROFESSORI DI PRIMA FASCIA TEMPO DET.ANNUALE</v>
      </c>
      <c r="B16" s="229" t="str">
        <f>'t1'!B15</f>
        <v>018PD1</v>
      </c>
      <c r="C16" s="754"/>
      <c r="D16" s="755"/>
      <c r="E16" s="754"/>
      <c r="F16" s="755"/>
      <c r="G16" s="754"/>
      <c r="H16" s="755"/>
      <c r="I16" s="754"/>
      <c r="J16" s="755"/>
      <c r="K16" s="754"/>
      <c r="L16" s="755"/>
      <c r="M16" s="754"/>
      <c r="N16" s="755"/>
      <c r="O16" s="754"/>
      <c r="P16" s="755"/>
      <c r="Q16" s="754"/>
      <c r="R16" s="755"/>
      <c r="S16" s="754"/>
      <c r="T16" s="755"/>
      <c r="U16" s="459">
        <f t="shared" si="0"/>
        <v>0</v>
      </c>
      <c r="V16" s="460">
        <f t="shared" si="1"/>
        <v>0</v>
      </c>
      <c r="W16" s="79">
        <f>'t1'!N15</f>
        <v>22</v>
      </c>
    </row>
    <row r="17" spans="1:23" ht="12" customHeight="1">
      <c r="A17" s="155" t="str">
        <f>'t1'!A16</f>
        <v>PROFESSORI DI SECONDA FASCIA TEMPO DET.ANNUALE</v>
      </c>
      <c r="B17" s="229" t="str">
        <f>'t1'!B16</f>
        <v>016PD2</v>
      </c>
      <c r="C17" s="754"/>
      <c r="D17" s="755"/>
      <c r="E17" s="754"/>
      <c r="F17" s="755"/>
      <c r="G17" s="754"/>
      <c r="H17" s="755"/>
      <c r="I17" s="754"/>
      <c r="J17" s="755"/>
      <c r="K17" s="754"/>
      <c r="L17" s="755"/>
      <c r="M17" s="754"/>
      <c r="N17" s="755"/>
      <c r="O17" s="754"/>
      <c r="P17" s="755"/>
      <c r="Q17" s="754"/>
      <c r="R17" s="755"/>
      <c r="S17" s="754"/>
      <c r="T17" s="755"/>
      <c r="U17" s="459">
        <f t="shared" si="0"/>
        <v>0</v>
      </c>
      <c r="V17" s="460">
        <f t="shared" si="1"/>
        <v>0</v>
      </c>
      <c r="W17" s="79">
        <f>'t1'!N16</f>
        <v>6</v>
      </c>
    </row>
    <row r="18" spans="1:23" ht="12" customHeight="1">
      <c r="A18" s="155" t="str">
        <f>'t1'!A17</f>
        <v>PROFESSORI DI PRIMA FASCIA T. DET. TERMINE ATTIV DIDATT</v>
      </c>
      <c r="B18" s="229" t="str">
        <f>'t1'!B17</f>
        <v>018DD1</v>
      </c>
      <c r="C18" s="754"/>
      <c r="D18" s="755"/>
      <c r="E18" s="754"/>
      <c r="F18" s="755"/>
      <c r="G18" s="754"/>
      <c r="H18" s="755"/>
      <c r="I18" s="754"/>
      <c r="J18" s="755"/>
      <c r="K18" s="754"/>
      <c r="L18" s="755"/>
      <c r="M18" s="754"/>
      <c r="N18" s="755"/>
      <c r="O18" s="754"/>
      <c r="P18" s="755"/>
      <c r="Q18" s="754"/>
      <c r="R18" s="755"/>
      <c r="S18" s="754"/>
      <c r="T18" s="755"/>
      <c r="U18" s="459">
        <f t="shared" si="0"/>
        <v>0</v>
      </c>
      <c r="V18" s="460">
        <f t="shared" si="1"/>
        <v>0</v>
      </c>
      <c r="W18" s="79">
        <f>'t1'!N17</f>
        <v>0</v>
      </c>
    </row>
    <row r="19" spans="1:23" ht="12" customHeight="1">
      <c r="A19" s="155" t="str">
        <f>'t1'!A18</f>
        <v>PROFESSORI DI SECONDA FASCIA T. DET. TERMINE ATTIV DIDATT</v>
      </c>
      <c r="B19" s="229" t="str">
        <f>'t1'!B18</f>
        <v>016DD2</v>
      </c>
      <c r="C19" s="754"/>
      <c r="D19" s="755"/>
      <c r="E19" s="754"/>
      <c r="F19" s="755"/>
      <c r="G19" s="754"/>
      <c r="H19" s="755"/>
      <c r="I19" s="754"/>
      <c r="J19" s="755"/>
      <c r="K19" s="754"/>
      <c r="L19" s="755"/>
      <c r="M19" s="754"/>
      <c r="N19" s="755"/>
      <c r="O19" s="754"/>
      <c r="P19" s="755"/>
      <c r="Q19" s="754"/>
      <c r="R19" s="755"/>
      <c r="S19" s="754"/>
      <c r="T19" s="755"/>
      <c r="U19" s="459">
        <f t="shared" si="0"/>
        <v>0</v>
      </c>
      <c r="V19" s="460">
        <f t="shared" si="1"/>
        <v>0</v>
      </c>
      <c r="W19" s="79">
        <f>'t1'!N18</f>
        <v>0</v>
      </c>
    </row>
    <row r="20" spans="1:23" ht="12" customHeight="1">
      <c r="A20" s="155" t="str">
        <f>'t1'!A19</f>
        <v>DIRETTORE AMMINISTRATIVO TEMPO DET.ANNUALE (EP2)</v>
      </c>
      <c r="B20" s="229" t="str">
        <f>'t1'!B19</f>
        <v>013EP2</v>
      </c>
      <c r="C20" s="754"/>
      <c r="D20" s="755"/>
      <c r="E20" s="754"/>
      <c r="F20" s="755"/>
      <c r="G20" s="754"/>
      <c r="H20" s="755"/>
      <c r="I20" s="754"/>
      <c r="J20" s="755"/>
      <c r="K20" s="754"/>
      <c r="L20" s="755"/>
      <c r="M20" s="754"/>
      <c r="N20" s="755"/>
      <c r="O20" s="754"/>
      <c r="P20" s="755"/>
      <c r="Q20" s="754"/>
      <c r="R20" s="755"/>
      <c r="S20" s="754"/>
      <c r="T20" s="755"/>
      <c r="U20" s="459">
        <f t="shared" si="0"/>
        <v>0</v>
      </c>
      <c r="V20" s="460">
        <f t="shared" si="1"/>
        <v>0</v>
      </c>
      <c r="W20" s="79">
        <f>'t1'!N19</f>
        <v>0</v>
      </c>
    </row>
    <row r="21" spans="1:23" ht="12" customHeight="1">
      <c r="A21" s="155" t="str">
        <f>'t1'!A20</f>
        <v>DIRETTORE DELL UFFICIO DI RAGIONERIA TEMPO DET.ANNUALE (EP1)</v>
      </c>
      <c r="B21" s="229" t="str">
        <f>'t1'!B20</f>
        <v>013160</v>
      </c>
      <c r="C21" s="754"/>
      <c r="D21" s="755"/>
      <c r="E21" s="754"/>
      <c r="F21" s="755"/>
      <c r="G21" s="754"/>
      <c r="H21" s="755"/>
      <c r="I21" s="754"/>
      <c r="J21" s="755"/>
      <c r="K21" s="754"/>
      <c r="L21" s="755"/>
      <c r="M21" s="754"/>
      <c r="N21" s="755"/>
      <c r="O21" s="754"/>
      <c r="P21" s="755"/>
      <c r="Q21" s="754"/>
      <c r="R21" s="755"/>
      <c r="S21" s="754"/>
      <c r="T21" s="755"/>
      <c r="U21" s="459">
        <f t="shared" si="0"/>
        <v>0</v>
      </c>
      <c r="V21" s="460">
        <f t="shared" si="1"/>
        <v>0</v>
      </c>
      <c r="W21" s="79">
        <f>'t1'!N20</f>
        <v>0</v>
      </c>
    </row>
    <row r="22" spans="1:23" ht="12" customHeight="1">
      <c r="A22" s="155" t="str">
        <f>'t1'!A21</f>
        <v>DIRETTORE AMMINISTRATIVO T. DET. TERMINE ATTIV DIDATT(EP2)</v>
      </c>
      <c r="B22" s="229" t="str">
        <f>'t1'!B21</f>
        <v>013E2N</v>
      </c>
      <c r="C22" s="754"/>
      <c r="D22" s="755"/>
      <c r="E22" s="754"/>
      <c r="F22" s="755"/>
      <c r="G22" s="754"/>
      <c r="H22" s="755"/>
      <c r="I22" s="754"/>
      <c r="J22" s="755"/>
      <c r="K22" s="754"/>
      <c r="L22" s="755"/>
      <c r="M22" s="754"/>
      <c r="N22" s="755"/>
      <c r="O22" s="754"/>
      <c r="P22" s="755"/>
      <c r="Q22" s="754"/>
      <c r="R22" s="755"/>
      <c r="S22" s="754"/>
      <c r="T22" s="755"/>
      <c r="U22" s="459">
        <f t="shared" si="0"/>
        <v>0</v>
      </c>
      <c r="V22" s="460">
        <f t="shared" si="1"/>
        <v>0</v>
      </c>
      <c r="W22" s="79">
        <f>'t1'!N21</f>
        <v>0</v>
      </c>
    </row>
    <row r="23" spans="1:23" ht="12" customHeight="1">
      <c r="A23" s="155" t="str">
        <f>'t1'!A22</f>
        <v>DIRETTORE UFF. RAGIONERIA T. DET. TERM. ATTIV DIDATT(EP1)</v>
      </c>
      <c r="B23" s="229" t="str">
        <f>'t1'!B22</f>
        <v>013E1N</v>
      </c>
      <c r="C23" s="754"/>
      <c r="D23" s="755"/>
      <c r="E23" s="754"/>
      <c r="F23" s="755"/>
      <c r="G23" s="754"/>
      <c r="H23" s="755"/>
      <c r="I23" s="754"/>
      <c r="J23" s="755"/>
      <c r="K23" s="754"/>
      <c r="L23" s="755"/>
      <c r="M23" s="754"/>
      <c r="N23" s="755"/>
      <c r="O23" s="754"/>
      <c r="P23" s="755"/>
      <c r="Q23" s="754"/>
      <c r="R23" s="755"/>
      <c r="S23" s="754"/>
      <c r="T23" s="755"/>
      <c r="U23" s="459">
        <f t="shared" si="0"/>
        <v>0</v>
      </c>
      <c r="V23" s="460">
        <f t="shared" si="1"/>
        <v>0</v>
      </c>
      <c r="W23" s="79">
        <f>'t1'!N22</f>
        <v>0</v>
      </c>
    </row>
    <row r="24" spans="1:23" ht="12" customHeight="1">
      <c r="A24" s="155" t="str">
        <f>'t1'!A23</f>
        <v>COORD. DI BIBLIOT., COORD. TEC. E AMM. TEMPO DET.ANNUALE</v>
      </c>
      <c r="B24" s="229" t="str">
        <f>'t1'!B23</f>
        <v>013DDE</v>
      </c>
      <c r="C24" s="754"/>
      <c r="D24" s="755"/>
      <c r="E24" s="754"/>
      <c r="F24" s="755"/>
      <c r="G24" s="754"/>
      <c r="H24" s="755"/>
      <c r="I24" s="754"/>
      <c r="J24" s="755"/>
      <c r="K24" s="754"/>
      <c r="L24" s="755"/>
      <c r="M24" s="754"/>
      <c r="N24" s="755"/>
      <c r="O24" s="754"/>
      <c r="P24" s="755"/>
      <c r="Q24" s="754"/>
      <c r="R24" s="755"/>
      <c r="S24" s="754"/>
      <c r="T24" s="755"/>
      <c r="U24" s="459">
        <f t="shared" si="0"/>
        <v>0</v>
      </c>
      <c r="V24" s="460">
        <f t="shared" si="1"/>
        <v>0</v>
      </c>
      <c r="W24" s="79">
        <f>'t1'!N23</f>
        <v>0</v>
      </c>
    </row>
    <row r="25" spans="1:23" ht="12" customHeight="1">
      <c r="A25" s="155" t="str">
        <f>'t1'!A24</f>
        <v>COLLAB. TEC. AMMIN. DI BIBLIOT. E DI LAB. TEMPO DET.ANNUALE</v>
      </c>
      <c r="B25" s="229" t="str">
        <f>'t1'!B24</f>
        <v>013CDE</v>
      </c>
      <c r="C25" s="754"/>
      <c r="D25" s="755"/>
      <c r="E25" s="754"/>
      <c r="F25" s="755"/>
      <c r="G25" s="754"/>
      <c r="H25" s="755"/>
      <c r="I25" s="754"/>
      <c r="J25" s="755"/>
      <c r="K25" s="754"/>
      <c r="L25" s="755"/>
      <c r="M25" s="754"/>
      <c r="N25" s="755"/>
      <c r="O25" s="754"/>
      <c r="P25" s="755"/>
      <c r="Q25" s="754"/>
      <c r="R25" s="755"/>
      <c r="S25" s="754"/>
      <c r="T25" s="755"/>
      <c r="U25" s="459">
        <f t="shared" si="0"/>
        <v>0</v>
      </c>
      <c r="V25" s="460">
        <f t="shared" si="1"/>
        <v>0</v>
      </c>
      <c r="W25" s="79">
        <f>'t1'!N24</f>
        <v>0</v>
      </c>
    </row>
    <row r="26" spans="1:23" ht="12" customHeight="1">
      <c r="A26" s="155" t="str">
        <f>'t1'!A25</f>
        <v>ASSIST. AMMINISTRATIVO TEMPO DET.ANNUALE</v>
      </c>
      <c r="B26" s="229" t="str">
        <f>'t1'!B25</f>
        <v>012118</v>
      </c>
      <c r="C26" s="754"/>
      <c r="D26" s="755"/>
      <c r="E26" s="754"/>
      <c r="F26" s="755"/>
      <c r="G26" s="754"/>
      <c r="H26" s="755"/>
      <c r="I26" s="754"/>
      <c r="J26" s="755"/>
      <c r="K26" s="754"/>
      <c r="L26" s="755"/>
      <c r="M26" s="754"/>
      <c r="N26" s="755"/>
      <c r="O26" s="754"/>
      <c r="P26" s="755"/>
      <c r="Q26" s="754"/>
      <c r="R26" s="755"/>
      <c r="S26" s="754"/>
      <c r="T26" s="755"/>
      <c r="U26" s="459">
        <f t="shared" si="0"/>
        <v>0</v>
      </c>
      <c r="V26" s="460">
        <f t="shared" si="1"/>
        <v>0</v>
      </c>
      <c r="W26" s="79">
        <f>'t1'!N25</f>
        <v>1</v>
      </c>
    </row>
    <row r="27" spans="1:23" ht="12" customHeight="1">
      <c r="A27" s="155" t="str">
        <f>'t1'!A26</f>
        <v>COADIUTORE TEMPO DET.ANNUALE</v>
      </c>
      <c r="B27" s="229" t="str">
        <f>'t1'!B26</f>
        <v>011124</v>
      </c>
      <c r="C27" s="754"/>
      <c r="D27" s="755"/>
      <c r="E27" s="754"/>
      <c r="F27" s="755"/>
      <c r="G27" s="754"/>
      <c r="H27" s="755"/>
      <c r="I27" s="754"/>
      <c r="J27" s="755"/>
      <c r="K27" s="754"/>
      <c r="L27" s="755"/>
      <c r="M27" s="754"/>
      <c r="N27" s="755"/>
      <c r="O27" s="754"/>
      <c r="P27" s="755"/>
      <c r="Q27" s="754"/>
      <c r="R27" s="755"/>
      <c r="S27" s="754"/>
      <c r="T27" s="755"/>
      <c r="U27" s="459">
        <f t="shared" si="0"/>
        <v>0</v>
      </c>
      <c r="V27" s="460">
        <f t="shared" si="1"/>
        <v>0</v>
      </c>
      <c r="W27" s="79">
        <f>'t1'!N26</f>
        <v>4</v>
      </c>
    </row>
    <row r="28" spans="1:23" ht="12" customHeight="1">
      <c r="A28" s="155" t="str">
        <f>'t1'!A27</f>
        <v>COORD. BIBL., COORD. TEC. E AMM. T. DET. TERM. ATTIV DIDATT</v>
      </c>
      <c r="B28" s="229" t="str">
        <f>'t1'!B27</f>
        <v>013DDN</v>
      </c>
      <c r="C28" s="754"/>
      <c r="D28" s="755"/>
      <c r="E28" s="754"/>
      <c r="F28" s="755"/>
      <c r="G28" s="754"/>
      <c r="H28" s="755"/>
      <c r="I28" s="754"/>
      <c r="J28" s="755"/>
      <c r="K28" s="754"/>
      <c r="L28" s="755"/>
      <c r="M28" s="754"/>
      <c r="N28" s="755"/>
      <c r="O28" s="754"/>
      <c r="P28" s="755"/>
      <c r="Q28" s="754"/>
      <c r="R28" s="755"/>
      <c r="S28" s="754"/>
      <c r="T28" s="755"/>
      <c r="U28" s="459">
        <f t="shared" si="0"/>
        <v>0</v>
      </c>
      <c r="V28" s="460">
        <f t="shared" si="1"/>
        <v>0</v>
      </c>
      <c r="W28" s="79">
        <f>'t1'!N27</f>
        <v>0</v>
      </c>
    </row>
    <row r="29" spans="1:23" ht="12" customHeight="1">
      <c r="A29" s="155" t="str">
        <f>'t1'!A28</f>
        <v>COLLAB. TEC. AMM. BIBL. E DI LAB. T. D. TERM. ATTIV DIDATT</v>
      </c>
      <c r="B29" s="229" t="str">
        <f>'t1'!B28</f>
        <v>013CDN</v>
      </c>
      <c r="C29" s="754"/>
      <c r="D29" s="755"/>
      <c r="E29" s="754"/>
      <c r="F29" s="755"/>
      <c r="G29" s="754"/>
      <c r="H29" s="755"/>
      <c r="I29" s="754"/>
      <c r="J29" s="755"/>
      <c r="K29" s="754"/>
      <c r="L29" s="755"/>
      <c r="M29" s="754"/>
      <c r="N29" s="755"/>
      <c r="O29" s="754"/>
      <c r="P29" s="755"/>
      <c r="Q29" s="754"/>
      <c r="R29" s="755"/>
      <c r="S29" s="754"/>
      <c r="T29" s="755"/>
      <c r="U29" s="459">
        <f t="shared" si="0"/>
        <v>0</v>
      </c>
      <c r="V29" s="460">
        <f t="shared" si="1"/>
        <v>0</v>
      </c>
      <c r="W29" s="79">
        <f>'t1'!N28</f>
        <v>0</v>
      </c>
    </row>
    <row r="30" spans="1:23" ht="12" customHeight="1">
      <c r="A30" s="155" t="str">
        <f>'t1'!A29</f>
        <v>ASSISTENTE AMMINISTRATIVO TEM.DET. TERMINE ATTIV DIDATT</v>
      </c>
      <c r="B30" s="229" t="str">
        <f>'t1'!B29</f>
        <v>016509</v>
      </c>
      <c r="C30" s="754"/>
      <c r="D30" s="755"/>
      <c r="E30" s="754"/>
      <c r="F30" s="755"/>
      <c r="G30" s="754"/>
      <c r="H30" s="755"/>
      <c r="I30" s="754"/>
      <c r="J30" s="755"/>
      <c r="K30" s="754"/>
      <c r="L30" s="755"/>
      <c r="M30" s="754"/>
      <c r="N30" s="755"/>
      <c r="O30" s="754"/>
      <c r="P30" s="755"/>
      <c r="Q30" s="754"/>
      <c r="R30" s="755"/>
      <c r="S30" s="754"/>
      <c r="T30" s="755"/>
      <c r="U30" s="459">
        <f t="shared" si="0"/>
        <v>0</v>
      </c>
      <c r="V30" s="460">
        <f t="shared" si="1"/>
        <v>0</v>
      </c>
      <c r="W30" s="79">
        <f>'t1'!N29</f>
        <v>0</v>
      </c>
    </row>
    <row r="31" spans="1:23" ht="12" customHeight="1" thickBot="1">
      <c r="A31" s="155" t="str">
        <f>'t1'!A30</f>
        <v>COADIUTORE TEMPO DET. TERMINE ATTIV DIDATT</v>
      </c>
      <c r="B31" s="229" t="str">
        <f>'t1'!B30</f>
        <v>011CNA</v>
      </c>
      <c r="C31" s="756"/>
      <c r="D31" s="757"/>
      <c r="E31" s="756"/>
      <c r="F31" s="757"/>
      <c r="G31" s="756"/>
      <c r="H31" s="757"/>
      <c r="I31" s="756"/>
      <c r="J31" s="757"/>
      <c r="K31" s="756"/>
      <c r="L31" s="757"/>
      <c r="M31" s="756"/>
      <c r="N31" s="757"/>
      <c r="O31" s="756"/>
      <c r="P31" s="757"/>
      <c r="Q31" s="756"/>
      <c r="R31" s="757"/>
      <c r="S31" s="756"/>
      <c r="T31" s="757"/>
      <c r="U31" s="459">
        <f t="shared" si="0"/>
        <v>0</v>
      </c>
      <c r="V31" s="460">
        <f t="shared" si="1"/>
        <v>0</v>
      </c>
      <c r="W31" s="79">
        <f>'t1'!N30</f>
        <v>0</v>
      </c>
    </row>
    <row r="32" spans="1:22" ht="12.75" customHeight="1" thickBot="1" thickTop="1">
      <c r="A32" s="86" t="s">
        <v>82</v>
      </c>
      <c r="B32" s="87"/>
      <c r="C32" s="461">
        <f aca="true" t="shared" si="2" ref="C32:V32">SUM(C7:C31)</f>
        <v>0</v>
      </c>
      <c r="D32" s="463">
        <f t="shared" si="2"/>
        <v>0</v>
      </c>
      <c r="E32" s="562">
        <f t="shared" si="2"/>
        <v>0</v>
      </c>
      <c r="F32" s="463">
        <f t="shared" si="2"/>
        <v>0</v>
      </c>
      <c r="G32" s="562">
        <f t="shared" si="2"/>
        <v>0</v>
      </c>
      <c r="H32" s="463">
        <f t="shared" si="2"/>
        <v>0</v>
      </c>
      <c r="I32" s="562">
        <f t="shared" si="2"/>
        <v>0</v>
      </c>
      <c r="J32" s="463">
        <f t="shared" si="2"/>
        <v>0</v>
      </c>
      <c r="K32" s="562">
        <f t="shared" si="2"/>
        <v>0</v>
      </c>
      <c r="L32" s="463">
        <f t="shared" si="2"/>
        <v>0</v>
      </c>
      <c r="M32" s="562">
        <f t="shared" si="2"/>
        <v>0</v>
      </c>
      <c r="N32" s="463">
        <f t="shared" si="2"/>
        <v>0</v>
      </c>
      <c r="O32" s="562">
        <f t="shared" si="2"/>
        <v>0</v>
      </c>
      <c r="P32" s="463">
        <f t="shared" si="2"/>
        <v>0</v>
      </c>
      <c r="Q32" s="839">
        <f>SUM(Q7:Q31)</f>
        <v>0</v>
      </c>
      <c r="R32" s="840">
        <f>SUM(R7:R31)</f>
        <v>0</v>
      </c>
      <c r="S32" s="839">
        <f>SUM(S7:S31)</f>
        <v>0</v>
      </c>
      <c r="T32" s="840">
        <f>SUM(T7:T31)</f>
        <v>0</v>
      </c>
      <c r="U32" s="461">
        <f t="shared" si="2"/>
        <v>0</v>
      </c>
      <c r="V32" s="462">
        <f t="shared" si="2"/>
        <v>0</v>
      </c>
    </row>
    <row r="34" spans="1:20" ht="9.75" customHeight="1">
      <c r="A34" s="26">
        <f>'t1'!$A$33</f>
      </c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" s="5" customFormat="1" ht="11.25">
      <c r="A35" s="26"/>
      <c r="B35" s="7"/>
    </row>
    <row r="36" ht="11.25">
      <c r="A36" s="79" t="s">
        <v>162</v>
      </c>
    </row>
  </sheetData>
  <sheetProtection password="EA98" sheet="1" formatColumns="0" selectLockedCells="1"/>
  <mergeCells count="22">
    <mergeCell ref="G5:H5"/>
    <mergeCell ref="I5:J5"/>
    <mergeCell ref="Q4:R4"/>
    <mergeCell ref="U4:V4"/>
    <mergeCell ref="C5:D5"/>
    <mergeCell ref="U5:V5"/>
    <mergeCell ref="S5:T5"/>
    <mergeCell ref="Q5:R5"/>
    <mergeCell ref="E5:F5"/>
    <mergeCell ref="S4:T4"/>
    <mergeCell ref="O5:P5"/>
    <mergeCell ref="M4:N4"/>
    <mergeCell ref="K5:L5"/>
    <mergeCell ref="M5:N5"/>
    <mergeCell ref="K4:L4"/>
    <mergeCell ref="O4:P4"/>
    <mergeCell ref="A1:P1"/>
    <mergeCell ref="G4:H4"/>
    <mergeCell ref="C4:D4"/>
    <mergeCell ref="E4:F4"/>
    <mergeCell ref="J2:V2"/>
    <mergeCell ref="I4:J4"/>
  </mergeCells>
  <conditionalFormatting sqref="A7:V15">
    <cfRule type="expression" priority="2" dxfId="3" stopIfTrue="1">
      <formula>$W7&gt;0</formula>
    </cfRule>
  </conditionalFormatting>
  <conditionalFormatting sqref="U16:V31">
    <cfRule type="expression" priority="1" dxfId="3" stopIfTrue="1">
      <formula>$W16&gt;0</formula>
    </cfRule>
  </conditionalFormatting>
  <printOptions horizontalCentered="1" verticalCentered="1"/>
  <pageMargins left="0" right="0" top="0.1968503937007874" bottom="0.15748031496062992" header="0.15748031496062992" footer="0.1574803149606299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Cesarina.Tomassetti</cp:lastModifiedBy>
  <cp:lastPrinted>2018-05-31T10:02:38Z</cp:lastPrinted>
  <dcterms:created xsi:type="dcterms:W3CDTF">1998-10-29T14:18:41Z</dcterms:created>
  <dcterms:modified xsi:type="dcterms:W3CDTF">2018-05-31T10:04:31Z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